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326"/>
  <workbookPr codeName="ThisWorkbook" defaultThemeVersion="124226"/>
  <mc:AlternateContent xmlns:mc="http://schemas.openxmlformats.org/markup-compatibility/2006">
    <mc:Choice Requires="x15">
      <x15ac:absPath xmlns:x15ac="http://schemas.microsoft.com/office/spreadsheetml/2010/11/ac" url="C:\Users\MikeH\Desktop\SALES - OPS - ACCOUNTING\90 - Bidwell Rentals &amp; Sales\PROJECT INFO SHEET\"/>
    </mc:Choice>
  </mc:AlternateContent>
  <bookViews>
    <workbookView xWindow="0" yWindow="0" windowWidth="28800" windowHeight="12210" tabRatio="823" activeTab="5" xr2:uid="{00000000-000D-0000-FFFF-FFFF00000000}"/>
  </bookViews>
  <sheets>
    <sheet name="Instructions" sheetId="43" r:id="rId1"/>
    <sheet name="1. Inserts" sheetId="15" r:id="rId2"/>
    <sheet name="2. Carriage" sheetId="35" r:id="rId3"/>
    <sheet name="3. PU-Paver Options" sheetId="42" r:id="rId4"/>
    <sheet name="4. Legs-Bogies" sheetId="22" r:id="rId5"/>
    <sheet name="5. Totals-Standard" sheetId="14" r:id="rId6"/>
    <sheet name="5. Totals-Metric" sheetId="38" r:id="rId7"/>
    <sheet name="Reference Docs" sheetId="41" r:id="rId8"/>
  </sheets>
  <definedNames>
    <definedName name="_xlnm.Print_Area" localSheetId="1">'1. Inserts'!$A$1:$AG$44</definedName>
    <definedName name="_xlnm.Print_Area" localSheetId="2">'2. Carriage'!$A$1:$Q$44</definedName>
    <definedName name="_xlnm.Print_Area" localSheetId="3">'3. PU-Paver Options'!$A$1:$O$29</definedName>
  </definedNames>
  <calcPr calcId="171027"/>
</workbook>
</file>

<file path=xl/calcChain.xml><?xml version="1.0" encoding="utf-8"?>
<calcChain xmlns="http://schemas.openxmlformats.org/spreadsheetml/2006/main">
  <c r="E23" i="22" l="1"/>
  <c r="E24" i="22"/>
  <c r="K22" i="22"/>
  <c r="J22" i="22"/>
  <c r="K21" i="22"/>
  <c r="J21" i="22"/>
  <c r="H22" i="22"/>
  <c r="G22" i="22"/>
  <c r="H21" i="22"/>
  <c r="G21" i="22"/>
  <c r="D22" i="22"/>
  <c r="E22" i="22"/>
  <c r="E21" i="22"/>
  <c r="D21" i="22"/>
  <c r="C10" i="42" l="1"/>
  <c r="B10" i="42"/>
  <c r="P38" i="15" l="1"/>
  <c r="F37" i="15"/>
  <c r="D5" i="15"/>
  <c r="Y30" i="15"/>
  <c r="I38" i="35" l="1"/>
  <c r="C38" i="35"/>
  <c r="C15" i="35"/>
  <c r="M38" i="35"/>
  <c r="L38" i="35"/>
  <c r="O38" i="35"/>
  <c r="F38" i="35"/>
  <c r="C41" i="14"/>
  <c r="C40" i="14"/>
  <c r="C40" i="38" l="1"/>
  <c r="C41" i="38"/>
  <c r="C26" i="42"/>
  <c r="C25" i="42"/>
  <c r="C24" i="42"/>
  <c r="C35" i="14"/>
  <c r="C12" i="42"/>
  <c r="C23" i="42"/>
  <c r="D23" i="42"/>
  <c r="C42" i="14"/>
  <c r="C39" i="14"/>
  <c r="D44" i="22" l="1"/>
  <c r="G44" i="22"/>
  <c r="H44" i="22"/>
  <c r="E44" i="22"/>
  <c r="D3" i="22" s="1"/>
  <c r="G43" i="22"/>
  <c r="E43" i="22"/>
  <c r="D43" i="22"/>
  <c r="H42" i="22"/>
  <c r="G42" i="22"/>
  <c r="E42" i="22"/>
  <c r="D42" i="22"/>
  <c r="C35" i="38"/>
  <c r="F25" i="38"/>
  <c r="F25" i="14"/>
  <c r="C42" i="38"/>
  <c r="C39" i="38"/>
  <c r="E52" i="38"/>
  <c r="E35" i="38"/>
  <c r="E41" i="35"/>
  <c r="E40" i="35"/>
  <c r="D38" i="35"/>
  <c r="P15" i="35"/>
  <c r="O15" i="35"/>
  <c r="M15" i="35"/>
  <c r="L15" i="35"/>
  <c r="J15" i="35"/>
  <c r="I15" i="35"/>
  <c r="G15" i="35"/>
  <c r="F15" i="35"/>
  <c r="D15" i="35"/>
  <c r="E2" i="35" l="1"/>
  <c r="E46" i="22"/>
  <c r="D2" i="35"/>
  <c r="E16" i="35"/>
  <c r="P38" i="35"/>
  <c r="J38" i="35"/>
  <c r="G38" i="35"/>
  <c r="D3" i="35" l="1"/>
  <c r="D4" i="35" s="1"/>
  <c r="C38" i="14" s="1"/>
  <c r="E3" i="35"/>
  <c r="E4" i="35" s="1"/>
  <c r="E39" i="35"/>
  <c r="P39" i="15"/>
  <c r="H43" i="22"/>
  <c r="E47" i="22" s="1"/>
  <c r="C36" i="14" l="1"/>
  <c r="C37" i="14"/>
  <c r="C37" i="38" s="1"/>
  <c r="C38" i="38"/>
  <c r="E45" i="22"/>
  <c r="F42" i="15"/>
  <c r="C33" i="14"/>
  <c r="C33" i="38" s="1"/>
  <c r="F36" i="15"/>
  <c r="F38" i="15" s="1"/>
  <c r="AA30" i="15"/>
  <c r="Z30" i="15"/>
  <c r="X30" i="15"/>
  <c r="U30" i="15"/>
  <c r="T30" i="15"/>
  <c r="O30" i="15"/>
  <c r="N30" i="15"/>
  <c r="I30" i="15"/>
  <c r="H30" i="15"/>
  <c r="AG25" i="15"/>
  <c r="AF25" i="15"/>
  <c r="AE25" i="15"/>
  <c r="AD25" i="15"/>
  <c r="AA25" i="15"/>
  <c r="Z25" i="15"/>
  <c r="Y25" i="15"/>
  <c r="X25" i="15"/>
  <c r="U25" i="15"/>
  <c r="T25" i="15"/>
  <c r="S25" i="15"/>
  <c r="R25" i="15"/>
  <c r="Q25" i="15"/>
  <c r="P25" i="15"/>
  <c r="O25" i="15"/>
  <c r="N25" i="15"/>
  <c r="K25" i="15"/>
  <c r="J25" i="15"/>
  <c r="I25" i="15"/>
  <c r="H25" i="15"/>
  <c r="E25" i="15"/>
  <c r="D25" i="15"/>
  <c r="C25" i="15"/>
  <c r="B25" i="15"/>
  <c r="C21" i="14"/>
  <c r="C21" i="38" s="1"/>
  <c r="E44" i="38" s="1"/>
  <c r="E52" i="14"/>
  <c r="E35" i="14"/>
  <c r="D6" i="15" l="1"/>
  <c r="C32" i="14" s="1"/>
  <c r="E43" i="38"/>
  <c r="E44" i="14"/>
  <c r="E43" i="14" s="1"/>
  <c r="E42" i="14" s="1"/>
  <c r="C44" i="14"/>
  <c r="C44" i="38" s="1"/>
  <c r="D2" i="22"/>
  <c r="C36" i="38"/>
  <c r="D4" i="15"/>
  <c r="C22" i="14" s="1"/>
  <c r="C22" i="38" s="1"/>
  <c r="C32" i="38" l="1"/>
  <c r="F32" i="38" s="1"/>
  <c r="F32" i="14"/>
  <c r="G32" i="14"/>
  <c r="G42" i="14"/>
  <c r="E39" i="14"/>
  <c r="G39" i="14" s="1"/>
  <c r="G41" i="14"/>
  <c r="F40" i="14"/>
  <c r="F41" i="14"/>
  <c r="F44" i="38"/>
  <c r="G41" i="38"/>
  <c r="F41" i="38"/>
  <c r="F36" i="38"/>
  <c r="G37" i="38"/>
  <c r="D4" i="22"/>
  <c r="C34" i="14" s="1"/>
  <c r="C43" i="14" s="1"/>
  <c r="G44" i="38"/>
  <c r="F42" i="38"/>
  <c r="G40" i="38"/>
  <c r="F40" i="38"/>
  <c r="G35" i="38"/>
  <c r="G33" i="38"/>
  <c r="F39" i="38"/>
  <c r="F35" i="38"/>
  <c r="G39" i="38"/>
  <c r="F33" i="38"/>
  <c r="G42" i="38"/>
  <c r="F38" i="38"/>
  <c r="G38" i="38"/>
  <c r="F37" i="38"/>
  <c r="G36" i="38"/>
  <c r="F44" i="14"/>
  <c r="G44" i="14"/>
  <c r="F42" i="14"/>
  <c r="G38" i="14"/>
  <c r="F37" i="14"/>
  <c r="G33" i="14"/>
  <c r="F38" i="14"/>
  <c r="G35" i="14"/>
  <c r="F33" i="14"/>
  <c r="G36" i="14"/>
  <c r="G40" i="14"/>
  <c r="F35" i="14"/>
  <c r="G37" i="14"/>
  <c r="F36" i="14"/>
  <c r="G32" i="38" l="1"/>
  <c r="C24" i="14"/>
  <c r="F39" i="14"/>
  <c r="C43" i="38"/>
  <c r="G43" i="38" s="1"/>
  <c r="C34" i="38"/>
  <c r="F34" i="38" s="1"/>
  <c r="G34" i="14"/>
  <c r="F34" i="14"/>
  <c r="G43" i="14"/>
  <c r="F43" i="14"/>
  <c r="F43" i="38" l="1"/>
  <c r="F45" i="38" s="1"/>
  <c r="F46" i="38" s="1"/>
  <c r="F51" i="38" s="1"/>
  <c r="G34" i="38"/>
  <c r="G45" i="38" s="1"/>
  <c r="C24" i="38"/>
  <c r="F45" i="14"/>
  <c r="G45" i="14"/>
  <c r="G47" i="14" s="1"/>
  <c r="G52" i="14" s="1"/>
  <c r="F46" i="14" l="1"/>
  <c r="F51" i="14" s="1"/>
  <c r="F47" i="38"/>
  <c r="F52" i="38" s="1"/>
  <c r="F47" i="14"/>
  <c r="F52" i="14" s="1"/>
  <c r="G47" i="38"/>
  <c r="G52" i="38" s="1"/>
  <c r="G46" i="38"/>
  <c r="G51" i="38" s="1"/>
  <c r="G46" i="14"/>
  <c r="G51" i="14" s="1"/>
</calcChain>
</file>

<file path=xl/sharedStrings.xml><?xml version="1.0" encoding="utf-8"?>
<sst xmlns="http://schemas.openxmlformats.org/spreadsheetml/2006/main" count="436" uniqueCount="241">
  <si>
    <t>LBS</t>
  </si>
  <si>
    <t>Length (ft)</t>
  </si>
  <si>
    <t>Weight (lbs)</t>
  </si>
  <si>
    <t>Qty
(ea)</t>
  </si>
  <si>
    <t>Cust. Name:</t>
  </si>
  <si>
    <t>Project:</t>
  </si>
  <si>
    <t>Loading Diagram</t>
  </si>
  <si>
    <t>See Note 2 below on Length's.</t>
  </si>
  <si>
    <t>Calculated Insert Length</t>
  </si>
  <si>
    <t>FT</t>
  </si>
  <si>
    <t>Unit Converter</t>
  </si>
  <si>
    <t>Insert Quantity</t>
  </si>
  <si>
    <t>EA</t>
  </si>
  <si>
    <t>Feet</t>
  </si>
  <si>
    <t>Inches</t>
  </si>
  <si>
    <t>One Operator Assumed</t>
  </si>
  <si>
    <t>Total Machine Weight</t>
  </si>
  <si>
    <t>Decimal Format (FT)</t>
  </si>
  <si>
    <t>Green Cells are required inputs.</t>
  </si>
  <si>
    <t>Loading Summary</t>
  </si>
  <si>
    <t>Moveable Loading</t>
  </si>
  <si>
    <t>Measurements</t>
  </si>
  <si>
    <t>Loading (LBS)</t>
  </si>
  <si>
    <t>Item</t>
  </si>
  <si>
    <t>Weight (LBS)</t>
  </si>
  <si>
    <t>Length (FT) (dec. Only)</t>
  </si>
  <si>
    <t>R1=Control</t>
  </si>
  <si>
    <t>R2=Idler</t>
  </si>
  <si>
    <t>Inserts &amp; Crown</t>
  </si>
  <si>
    <r>
      <rPr>
        <b/>
        <sz val="10"/>
        <rFont val="Arial"/>
        <family val="2"/>
      </rPr>
      <t xml:space="preserve">0 </t>
    </r>
    <r>
      <rPr>
        <sz val="10"/>
        <rFont val="Arial"/>
        <family val="2"/>
      </rPr>
      <t>= Control End Panel</t>
    </r>
  </si>
  <si>
    <t>Start at Zero</t>
  </si>
  <si>
    <r>
      <rPr>
        <b/>
        <sz val="10"/>
        <rFont val="Arial"/>
        <family val="2"/>
      </rPr>
      <t xml:space="preserve">R1 </t>
    </r>
    <r>
      <rPr>
        <sz val="10"/>
        <rFont val="Arial"/>
        <family val="2"/>
      </rPr>
      <t>= 1st Leg &amp; Bogie</t>
    </r>
  </si>
  <si>
    <r>
      <t>Lr1</t>
    </r>
    <r>
      <rPr>
        <sz val="8"/>
        <color indexed="8"/>
        <rFont val="Calibri"/>
        <family val="2"/>
      </rPr>
      <t>=</t>
    </r>
  </si>
  <si>
    <t>Power Unit + Operator</t>
  </si>
  <si>
    <r>
      <t>L</t>
    </r>
    <r>
      <rPr>
        <sz val="8"/>
        <color indexed="8"/>
        <rFont val="Calibri"/>
        <family val="2"/>
      </rPr>
      <t>PU=</t>
    </r>
  </si>
  <si>
    <t>Carriage #1 w/Options</t>
  </si>
  <si>
    <r>
      <t>L</t>
    </r>
    <r>
      <rPr>
        <sz val="8"/>
        <color indexed="8"/>
        <rFont val="Calibri"/>
        <family val="2"/>
      </rPr>
      <t>C1=</t>
    </r>
  </si>
  <si>
    <t>Carriage #2 w/Options</t>
  </si>
  <si>
    <r>
      <t>L</t>
    </r>
    <r>
      <rPr>
        <sz val="8"/>
        <color indexed="8"/>
        <rFont val="Calibri"/>
        <family val="2"/>
      </rPr>
      <t>C2=</t>
    </r>
  </si>
  <si>
    <t>Carriage #3 w/Options</t>
  </si>
  <si>
    <r>
      <t>L</t>
    </r>
    <r>
      <rPr>
        <sz val="8"/>
        <color indexed="8"/>
        <rFont val="Calibri"/>
        <family val="2"/>
      </rPr>
      <t>C3=</t>
    </r>
  </si>
  <si>
    <t>Fogger 50 Gal.</t>
  </si>
  <si>
    <r>
      <t>L</t>
    </r>
    <r>
      <rPr>
        <sz val="8"/>
        <color indexed="8"/>
        <rFont val="Calibri"/>
        <family val="2"/>
      </rPr>
      <t>FOG=</t>
    </r>
  </si>
  <si>
    <t>Pressure Washer</t>
  </si>
  <si>
    <r>
      <t>L</t>
    </r>
    <r>
      <rPr>
        <sz val="8"/>
        <color indexed="8"/>
        <rFont val="Calibri"/>
        <family val="2"/>
      </rPr>
      <t>PW=</t>
    </r>
  </si>
  <si>
    <r>
      <rPr>
        <b/>
        <sz val="10"/>
        <rFont val="Arial"/>
        <family val="2"/>
      </rPr>
      <t>R2</t>
    </r>
    <r>
      <rPr>
        <sz val="10"/>
        <rFont val="Arial"/>
        <family val="2"/>
      </rPr>
      <t xml:space="preserve"> = 2nd Leg &amp; Bogie</t>
    </r>
  </si>
  <si>
    <r>
      <t>Lr2</t>
    </r>
    <r>
      <rPr>
        <sz val="8"/>
        <color indexed="8"/>
        <rFont val="Calibri"/>
        <family val="2"/>
      </rPr>
      <t>=</t>
    </r>
  </si>
  <si>
    <r>
      <rPr>
        <b/>
        <sz val="10"/>
        <rFont val="Arial"/>
        <family val="2"/>
      </rPr>
      <t>D</t>
    </r>
    <r>
      <rPr>
        <sz val="10"/>
        <rFont val="Arial"/>
        <family val="2"/>
      </rPr>
      <t xml:space="preserve"> = Idler End Panel</t>
    </r>
  </si>
  <si>
    <t>Lcep=</t>
  </si>
  <si>
    <t>Σ Forces Per Side of machine=</t>
  </si>
  <si>
    <t>Standard 4 Wheel Bogies Load/Wheel=</t>
  </si>
  <si>
    <t>Other # Wheel Bogies/Wheel=</t>
  </si>
  <si>
    <t>Safety Factor</t>
  </si>
  <si>
    <t>Standard 4 Wheel Bogies Load/Wheel</t>
  </si>
  <si>
    <t>Assumptions/Comments/Feedback/Notes:</t>
  </si>
  <si>
    <t>If calculated length doesn't match your expected machine length go back and verify insert tab items are correct.</t>
  </si>
  <si>
    <t>Formulas check for these errors:
- Object load length less than 0 error message: "Negative L not allowed”
- R2 can’t be greater than D error message: “R2 or D incorrect length”
- R1 can’t be greater than R2 error message: “R1 can’t be more than R2”
- Object load length is greater than D error message: “Can’t be greater than D”</t>
  </si>
  <si>
    <t>Safety Factor of 1.25 is to account for individual weight estimates that may be off or missing information from changes.  Additional safety factor should be used per customer requirements.</t>
  </si>
  <si>
    <t>If you have questions, found a bug, or have feedback please report it to your Bid-Well representative.</t>
  </si>
  <si>
    <r>
      <rPr>
        <b/>
        <u/>
        <sz val="10.5"/>
        <rFont val="Consolas"/>
        <family val="3"/>
      </rPr>
      <t>DISCLAIMER:</t>
    </r>
    <r>
      <rPr>
        <sz val="10.5"/>
        <rFont val="Consolas"/>
        <family val="3"/>
      </rPr>
      <t xml:space="preserve">
THE USE AND APPLICATION OF THIS TOOL IS AT THE SOLE DISCRETION OF THE END USER WHO SHALL ASSUME ANY AND ALL LIABILITY.
THE END USER MUST APPLY APPROPRIATE SAFETY MARGINS TO ANY STRUCTURE DESIGNED USING THE BASIC DATA GENERATED BY THIS PROGRAM.
TEREX/BID-WELL HAS MADE EVERY EFFORT TO INSURE THE DATA AND FORMULAS IN THIS APPLICATION ARE CORRECT.
© 2010 Terex Corporation, All Rights Reserved, Terex® is a registered trademark of Terex Corporation in the United States of America and many other countries.  Products and services listed may be trademarks, service marks, or trade names of Terex Corporation and/or its subsidiaries in the United States of America and other countries, and all rights are reserved.
No part of this form may be reproduced in any way without the express prior written consent of Terex Corporation.</t>
    </r>
  </si>
  <si>
    <t>Insert Qty</t>
  </si>
  <si>
    <t>Total Insert Length</t>
  </si>
  <si>
    <t>Hose Trough - Only applicable on 5000 &amp; Above machines</t>
  </si>
  <si>
    <t>2450 &amp; 3600</t>
  </si>
  <si>
    <t>Weight/ft (lbs)</t>
  </si>
  <si>
    <t>Total Weight(lbs)</t>
  </si>
  <si>
    <t>4800 &amp; Above</t>
  </si>
  <si>
    <t>Manual</t>
  </si>
  <si>
    <t>ERROR MSG:</t>
  </si>
  <si>
    <t>Total Insert &amp; Crown Weight</t>
  </si>
  <si>
    <t>No part of this form may be reproduced in any way without the express prior written consent of Terex Corporation</t>
  </si>
  <si>
    <t>2450 &amp; 3600 ONLY</t>
  </si>
  <si>
    <t>3600 &amp; ABOVE</t>
  </si>
  <si>
    <t>ALL</t>
  </si>
  <si>
    <t>2450 ONLY</t>
  </si>
  <si>
    <t>7000 ONLY</t>
  </si>
  <si>
    <t>LEGS ERROR MSG:</t>
  </si>
  <si>
    <t xml:space="preserve">Sub Total - Legs Only </t>
  </si>
  <si>
    <t>Total - With Options</t>
  </si>
  <si>
    <t>4" - Swing Leg Ass'y</t>
  </si>
  <si>
    <t>4" - Standard Leg &amp; Plate Ass'y</t>
  </si>
  <si>
    <t>4" - Pivot Leg Ass'y</t>
  </si>
  <si>
    <t>4" - Powered Leg &amp; Plate Ass'y</t>
  </si>
  <si>
    <t>6" - Standard Leg &amp; Plate Ass'y</t>
  </si>
  <si>
    <t>6" - Swing Leg Ass'y</t>
  </si>
  <si>
    <t>6" - Pivot Leg Ass'y</t>
  </si>
  <si>
    <t>Power Up/Down Leg</t>
  </si>
  <si>
    <t>Leg Braces (Set = 2 Braces)</t>
  </si>
  <si>
    <t>Power Widening</t>
  </si>
  <si>
    <t>6"  - Slope Bracket Leg Ass'y</t>
  </si>
  <si>
    <t>2450
LEG ASS'Y</t>
  </si>
  <si>
    <t>3600
LEG ASS'Y</t>
  </si>
  <si>
    <t>4800 &amp; ABOVE
LEG ASS'Y</t>
  </si>
  <si>
    <t>HYDRAMATION/PWR LEGS ERROR MSG:</t>
  </si>
  <si>
    <t>Powered - Concave</t>
  </si>
  <si>
    <t>Powered - Flat-Flange</t>
  </si>
  <si>
    <t>Powered - Polyurethane</t>
  </si>
  <si>
    <t>Idler - Concave</t>
  </si>
  <si>
    <t>Idler - Flat-Flange</t>
  </si>
  <si>
    <t>Idler - Polyurethane</t>
  </si>
  <si>
    <t>Rubber Tire Drive</t>
  </si>
  <si>
    <t>Track Drive</t>
  </si>
  <si>
    <t>Rebar Pushers (Set=4)</t>
  </si>
  <si>
    <t>Mud Shield (Set=4)</t>
  </si>
  <si>
    <t>BOGIE ERROR MSG:</t>
  </si>
  <si>
    <t xml:space="preserve">Sub Total - Powered Bogies Only </t>
  </si>
  <si>
    <t>Sub Total - All Bogies</t>
  </si>
  <si>
    <t>POWERED BOGIE ERROR MSG:</t>
  </si>
  <si>
    <t>ALL
POWERED</t>
  </si>
  <si>
    <t>All
IDLER</t>
  </si>
  <si>
    <t>SKEW BAR KIT</t>
  </si>
  <si>
    <t>FOGGER, 50 gal.</t>
  </si>
  <si>
    <t>SIDEWALK PAVER</t>
  </si>
  <si>
    <t>15" ROTA-VIBE</t>
  </si>
  <si>
    <t>18" ROTA-VIBE</t>
  </si>
  <si>
    <t>5' ROLLER DUAL DRAG PAN</t>
  </si>
  <si>
    <t>6' ROLLER DUAL DRAG PAN</t>
  </si>
  <si>
    <t>LOWER WEDGE FRAME</t>
  </si>
  <si>
    <t>SPUD VIBRATION</t>
  </si>
  <si>
    <t>DUAL HD SPUD VIBRATION</t>
  </si>
  <si>
    <t>DRAG PAN SEAT</t>
  </si>
  <si>
    <t>DRAG PAN SEAT W/LIFT</t>
  </si>
  <si>
    <t>ROTA-VIBE LIFT</t>
  </si>
  <si>
    <t>TRIMMER SLOPE ASS'Y</t>
  </si>
  <si>
    <t>TRANSVERSE JOINT CUTTER</t>
  </si>
  <si>
    <t>Diesel</t>
  </si>
  <si>
    <t>Gas</t>
  </si>
  <si>
    <t>7000 only</t>
  </si>
  <si>
    <t>Engine - Pressure Washer</t>
  </si>
  <si>
    <t>6000 &amp; Above</t>
  </si>
  <si>
    <t>4800 Option Only
Std weights built into others</t>
  </si>
  <si>
    <t>5000 Only</t>
  </si>
  <si>
    <t>5000 &amp; Above</t>
  </si>
  <si>
    <t>Pre 2000</t>
  </si>
  <si>
    <t>2000-05</t>
  </si>
  <si>
    <t>2006+</t>
  </si>
  <si>
    <t>CARRIAGE # ERROR MSG:</t>
  </si>
  <si>
    <t>Nose Wheel</t>
  </si>
  <si>
    <t>Hydraulic - Pressure Washer</t>
  </si>
  <si>
    <t>100 Gallon
6500 &amp; Above</t>
  </si>
  <si>
    <t>50 Gallon</t>
  </si>
  <si>
    <t>FOGGER ERROR MSG:</t>
  </si>
  <si>
    <t>WASHER ERROR MSG:</t>
  </si>
  <si>
    <t>POWER UNIT ERROR MSG:</t>
  </si>
  <si>
    <t>All</t>
  </si>
  <si>
    <t>Not On 7000</t>
  </si>
  <si>
    <t>SPUD VIBRATION ERROR MSG:</t>
  </si>
  <si>
    <t>7000 DRAG PAN SEAT ERROR MSG:</t>
  </si>
  <si>
    <t>5' ROLLER SINGLE DRAG PAN</t>
  </si>
  <si>
    <t>6' ROLLER SINGLE DRAG PAN</t>
  </si>
  <si>
    <t>4 Ft. Rollers Standard</t>
  </si>
  <si>
    <t>6 Ft. Rollers Standard</t>
  </si>
  <si>
    <t>15" Rota-Vibe Std</t>
  </si>
  <si>
    <t>18" Rota-Vibe Std</t>
  </si>
  <si>
    <t>11" Rota-Vibe Standard</t>
  </si>
  <si>
    <t>See Above</t>
  </si>
  <si>
    <t>6000 &amp; Up</t>
  </si>
  <si>
    <t>SKEW\ROTA-VIBE\DRAG PAN ERROR MSG:</t>
  </si>
  <si>
    <t>Other # Wheel Bogies/Side-Load/Wheel=</t>
  </si>
  <si>
    <t>Crown Assembly Verification</t>
  </si>
  <si>
    <t>Paver Insert Verification</t>
  </si>
  <si>
    <t>Sub Totals</t>
  </si>
  <si>
    <t>User Input</t>
  </si>
  <si>
    <t>Green Cells are User Inputs.</t>
  </si>
  <si>
    <t>Meters</t>
  </si>
  <si>
    <t>Kg</t>
  </si>
  <si>
    <t>Meters (m)</t>
  </si>
  <si>
    <t>Loading (Kg)</t>
  </si>
  <si>
    <t>Weight (Kg)</t>
  </si>
  <si>
    <t>Length (m) (dec. Only)</t>
  </si>
  <si>
    <t>Standard 4 Wheels/Side - Load/Wheel=</t>
  </si>
  <si>
    <t>Other # Wheels/Side -Load/Wheel=</t>
  </si>
  <si>
    <t>Inserts Sums and Totals</t>
  </si>
  <si>
    <t>Legs-Bogies Sums and Totals</t>
  </si>
  <si>
    <t>Total Legs w/ Options</t>
  </si>
  <si>
    <t>Total Bogies w/ Options</t>
  </si>
  <si>
    <t>Total Legs and Bogies w/ Options</t>
  </si>
  <si>
    <t>5000 &amp; Up</t>
  </si>
  <si>
    <t>Carriage Sums and Totals</t>
  </si>
  <si>
    <t>Total Carriage Options</t>
  </si>
  <si>
    <t>Total Carriage Type Total</t>
  </si>
  <si>
    <t>Total Carriage Type &amp; Options</t>
  </si>
  <si>
    <t>NOSE WHEEL EROOR MSG:</t>
  </si>
  <si>
    <t>Multi-Wheel Bogie System</t>
  </si>
  <si>
    <t>6 Wheel/Side Weight adder</t>
  </si>
  <si>
    <t>8 Wheel/Side Weight adder</t>
  </si>
  <si>
    <t>MULTI WHEEL BOGIE ERROR MSG:</t>
  </si>
  <si>
    <t>Engineering Reference Only</t>
  </si>
  <si>
    <t>All point measurements are to center of gravity of object.  Best estimate should be taken when measuring.  Example: Power unit CG is approximately 4' from back of engine.
The length is used to determine how much of each object's weight goes to each wheel.</t>
  </si>
  <si>
    <t>This tool calculates loading for one situation. Depending on your situation you may need to calculate worst case loading for more than one scenario.  Typically best practice is to calculate for both power and idler end worst cases depending on options loaded on paver.</t>
  </si>
  <si>
    <t>If more than one carriage, all Carriage Options weight is evenly distributed between # of carriages.</t>
  </si>
  <si>
    <t>Sidewalk Paver 1</t>
  </si>
  <si>
    <r>
      <t>L</t>
    </r>
    <r>
      <rPr>
        <sz val="8"/>
        <color indexed="8"/>
        <rFont val="Calibri"/>
        <family val="2"/>
      </rPr>
      <t>SP1=</t>
    </r>
  </si>
  <si>
    <r>
      <t>L</t>
    </r>
    <r>
      <rPr>
        <sz val="8"/>
        <color indexed="8"/>
        <rFont val="Calibri"/>
        <family val="2"/>
      </rPr>
      <t>SP2=</t>
    </r>
  </si>
  <si>
    <t>Sidewalk Paver 2</t>
  </si>
  <si>
    <t>Total - Options</t>
  </si>
  <si>
    <t>Total - Carriage</t>
  </si>
  <si>
    <t>W/O Leg Rail</t>
  </si>
  <si>
    <t>W/ Leg Rail</t>
  </si>
  <si>
    <t>66"</t>
  </si>
  <si>
    <t>660-07</t>
  </si>
  <si>
    <t>Length
(ft.)</t>
  </si>
  <si>
    <t>48" - 66"</t>
  </si>
  <si>
    <t>TYPE III W/ Leg Rail</t>
  </si>
  <si>
    <t>TYPE III W/O Leg Rail</t>
  </si>
  <si>
    <t>2450 Paver Inserts</t>
  </si>
  <si>
    <t>3600 Paver Inserts</t>
  </si>
  <si>
    <t>4800 Paver Inserts</t>
  </si>
  <si>
    <t>5000 Paver Inserts</t>
  </si>
  <si>
    <t>5000 &amp; Above Paver Inserts</t>
  </si>
  <si>
    <t>36"-48"</t>
  </si>
  <si>
    <t>End Panels</t>
  </si>
  <si>
    <t>Sub
Totals</t>
  </si>
  <si>
    <t>Idler
End</t>
  </si>
  <si>
    <t>Control
End</t>
  </si>
  <si>
    <t>All Models</t>
  </si>
  <si>
    <t>Power
Hydraulic</t>
  </si>
  <si>
    <t xml:space="preserve">Carriage Type </t>
  </si>
  <si>
    <t>Carriage Options</t>
  </si>
  <si>
    <t>Paver Options</t>
  </si>
  <si>
    <t>Power Unit Type</t>
  </si>
  <si>
    <t>7000 w/Operator Console Leveler</t>
  </si>
  <si>
    <t>PU Totals</t>
  </si>
  <si>
    <t>Bogie Assemblies</t>
  </si>
  <si>
    <t>Leg Assemblies</t>
  </si>
  <si>
    <t>3ft Standard</t>
  </si>
  <si>
    <t>4ft Standard</t>
  </si>
  <si>
    <t>Transitions
NA</t>
  </si>
  <si>
    <t>Transitions</t>
  </si>
  <si>
    <t>Work your way through the 4 options tabs to define your paving machine.</t>
  </si>
  <si>
    <t>Continue to the "2. Carriage" tab and place the number in the green cells for how many of each type of carriage and options you have.  Again note the error message to help guide you.</t>
  </si>
  <si>
    <t>Continue to the "3. PU-Paver Options" tab.  Place number in the green cells for power unit type and paver options.  Note the error messages to help guide you.</t>
  </si>
  <si>
    <t>Tab 5 Formulas check for these errors:
- Object load length less than 0 error message: "Negative L not allowed”
- R2 can’t be greater than D error message: “R2 or D incorrect length”
- R1 can’t be greater than R2 error message: “R1 can’t be more than R2”
- Object load length is greater than D error message: “Can’t be greater than D”</t>
  </si>
  <si>
    <t>Instructions:</t>
  </si>
  <si>
    <t>Continue to the "4. Legs-Bogies" tab.  Place numbers in the green cells to select your specific setup.  Note: Sub Total - Legs Only should be 4.  Leg braces come in a set of 2 so the selection quantity should be 1. On bogies typically there are 2 idler and 2 powered.</t>
  </si>
  <si>
    <t>Start on the "1. Inserts" tab and place a number in the green cell of how many of each type of insert, end panel, crown adjustments, etc. you have.  Pay special attention to the RED error messages below each section to help guide you.  Inserts are grouped into machine sizes.</t>
  </si>
  <si>
    <t>Finally continue to the standard or metric version of tab 5.  Each option is figured as a point load at center of gravity for load calculations.  Estimate the position of the center of each load.  Position is measured from the end of the control end panel per the diagram.  If no load is present both the position and load should read 0.</t>
  </si>
  <si>
    <t>5 ft Rollers Std</t>
  </si>
  <si>
    <r>
      <t>Hydramation</t>
    </r>
    <r>
      <rPr>
        <sz val="8"/>
        <color theme="1"/>
        <rFont val="Calibri"/>
        <family val="2"/>
        <scheme val="minor"/>
      </rPr>
      <t xml:space="preserve"> (String Line Sensing)</t>
    </r>
  </si>
  <si>
    <t>Wheel Spacing (see assumption/comments/feedback item #3</t>
  </si>
  <si>
    <t>Load per wheel is the Σ Forces Per Side of machine divided by 4 wheels or "other #".  This is a simplified calc.  If you need more specific calc see reference docs tab for your specific setup's spacing.  Contact service dept for 8 wheel system spacing.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</si>
</sst>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x14ac:knownFonts="1">
    <font>
      <sz val="11"/>
      <color theme="1"/>
      <name val="Calibri"/>
      <family val="2"/>
      <scheme val="minor"/>
    </font>
    <font>
      <sz val="10"/>
      <name val="Arial"/>
      <family val="2"/>
    </font>
    <font>
      <b/>
      <sz val="10"/>
      <name val="Arial"/>
      <family val="2"/>
    </font>
    <font>
      <sz val="10"/>
      <name val="Arial"/>
      <family val="2"/>
    </font>
    <font>
      <sz val="10.5"/>
      <name val="Consolas"/>
      <family val="3"/>
    </font>
    <font>
      <sz val="11"/>
      <color theme="1"/>
      <name val="Calibri"/>
      <family val="2"/>
      <scheme val="minor"/>
    </font>
    <font>
      <b/>
      <sz val="12"/>
      <color theme="1"/>
      <name val="Calibri"/>
      <family val="2"/>
      <scheme val="minor"/>
    </font>
    <font>
      <sz val="12"/>
      <color theme="1"/>
      <name val="Calibri"/>
      <family val="2"/>
      <scheme val="minor"/>
    </font>
    <font>
      <b/>
      <sz val="11"/>
      <name val="Arial"/>
      <family val="2"/>
    </font>
    <font>
      <b/>
      <sz val="11"/>
      <color theme="1"/>
      <name val="Calibri"/>
      <family val="2"/>
      <scheme val="minor"/>
    </font>
    <font>
      <b/>
      <sz val="16"/>
      <color theme="1"/>
      <name val="Calibri"/>
      <family val="2"/>
      <scheme val="minor"/>
    </font>
    <font>
      <b/>
      <sz val="14"/>
      <color theme="1"/>
      <name val="Calibri"/>
      <family val="2"/>
      <scheme val="minor"/>
    </font>
    <font>
      <sz val="8"/>
      <color indexed="8"/>
      <name val="Calibri"/>
      <family val="2"/>
    </font>
    <font>
      <sz val="11"/>
      <color theme="1"/>
      <name val="Calibri"/>
      <family val="2"/>
    </font>
    <font>
      <b/>
      <u/>
      <sz val="10.5"/>
      <name val="Consolas"/>
      <family val="3"/>
    </font>
    <font>
      <b/>
      <sz val="12"/>
      <name val="Arial"/>
      <family val="2"/>
    </font>
    <font>
      <b/>
      <sz val="11"/>
      <color rgb="FFFF0000"/>
      <name val="Calibri"/>
      <family val="2"/>
      <scheme val="minor"/>
    </font>
    <font>
      <sz val="9"/>
      <color theme="1"/>
      <name val="Calibri"/>
      <family val="2"/>
      <scheme val="minor"/>
    </font>
    <font>
      <b/>
      <sz val="9"/>
      <color theme="1"/>
      <name val="Calibri"/>
      <family val="2"/>
      <scheme val="minor"/>
    </font>
    <font>
      <b/>
      <sz val="14"/>
      <name val="Arial"/>
      <family val="2"/>
    </font>
    <font>
      <b/>
      <sz val="16"/>
      <color rgb="FFFF0000"/>
      <name val="Calibri"/>
      <family val="2"/>
      <scheme val="minor"/>
    </font>
    <font>
      <b/>
      <sz val="18"/>
      <color rgb="FFFF0000"/>
      <name val="Calibri"/>
      <family val="2"/>
      <scheme val="minor"/>
    </font>
    <font>
      <sz val="20"/>
      <color theme="1"/>
      <name val="Calibri"/>
      <family val="2"/>
      <scheme val="minor"/>
    </font>
    <font>
      <b/>
      <sz val="20"/>
      <color rgb="FFFF0000"/>
      <name val="Calibri"/>
      <family val="2"/>
      <scheme val="minor"/>
    </font>
    <font>
      <b/>
      <sz val="20"/>
      <color theme="1"/>
      <name val="Calibri"/>
      <family val="2"/>
      <scheme val="minor"/>
    </font>
    <font>
      <b/>
      <sz val="20"/>
      <name val="Calibri"/>
      <family val="2"/>
      <scheme val="minor"/>
    </font>
    <font>
      <b/>
      <sz val="18"/>
      <name val="Arial"/>
      <family val="2"/>
    </font>
    <font>
      <sz val="8"/>
      <color theme="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tint="-0.34998626667073579"/>
        <bgColor indexed="64"/>
      </patternFill>
    </fill>
  </fills>
  <borders count="7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hair">
        <color indexed="64"/>
      </top>
      <bottom style="thin">
        <color indexed="64"/>
      </bottom>
      <diagonal/>
    </border>
    <border>
      <left/>
      <right/>
      <top style="hair">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bottom/>
      <diagonal/>
    </border>
    <border>
      <left/>
      <right/>
      <top/>
      <bottom style="hair">
        <color indexed="64"/>
      </bottom>
      <diagonal/>
    </border>
    <border>
      <left/>
      <right style="medium">
        <color indexed="64"/>
      </right>
      <top/>
      <bottom style="hair">
        <color indexed="64"/>
      </bottom>
      <diagonal/>
    </border>
    <border>
      <left/>
      <right/>
      <top style="hair">
        <color indexed="64"/>
      </top>
      <bottom/>
      <diagonal/>
    </border>
    <border>
      <left/>
      <right style="medium">
        <color indexed="64"/>
      </right>
      <top style="hair">
        <color indexed="64"/>
      </top>
      <bottom/>
      <diagonal/>
    </border>
    <border>
      <left style="medium">
        <color indexed="64"/>
      </left>
      <right/>
      <top style="hair">
        <color indexed="64"/>
      </top>
      <bottom/>
      <diagonal/>
    </border>
    <border>
      <left style="medium">
        <color indexed="64"/>
      </left>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medium">
        <color indexed="64"/>
      </right>
      <top style="hair">
        <color indexed="64"/>
      </top>
      <bottom style="medium">
        <color indexed="64"/>
      </bottom>
      <diagonal/>
    </border>
  </borders>
  <cellStyleXfs count="3">
    <xf numFmtId="0" fontId="0" fillId="0" borderId="0"/>
    <xf numFmtId="0" fontId="1" fillId="0" borderId="0"/>
    <xf numFmtId="0" fontId="3" fillId="0" borderId="0"/>
  </cellStyleXfs>
  <cellXfs count="521">
    <xf numFmtId="0" fontId="0" fillId="0" borderId="0" xfId="0"/>
    <xf numFmtId="0" fontId="3" fillId="0" borderId="0" xfId="2"/>
    <xf numFmtId="0" fontId="3" fillId="0" borderId="11" xfId="2" applyFont="1" applyBorder="1" applyAlignment="1">
      <alignment horizontal="right"/>
    </xf>
    <xf numFmtId="0" fontId="3" fillId="0" borderId="26" xfId="2" applyFont="1" applyBorder="1" applyAlignment="1" applyProtection="1">
      <protection locked="0"/>
    </xf>
    <xf numFmtId="0" fontId="3" fillId="0" borderId="27" xfId="2" applyFont="1" applyBorder="1" applyAlignment="1" applyProtection="1">
      <protection locked="0"/>
    </xf>
    <xf numFmtId="0" fontId="3" fillId="0" borderId="28" xfId="2" applyFont="1" applyBorder="1" applyAlignment="1" applyProtection="1">
      <protection locked="0"/>
    </xf>
    <xf numFmtId="0" fontId="9" fillId="0" borderId="0" xfId="2" applyFont="1" applyBorder="1" applyAlignment="1"/>
    <xf numFmtId="0" fontId="9" fillId="0" borderId="0" xfId="2" applyFont="1" applyBorder="1" applyAlignment="1">
      <alignment horizontal="center"/>
    </xf>
    <xf numFmtId="0" fontId="10" fillId="0" borderId="0" xfId="2" applyFont="1" applyBorder="1" applyAlignment="1"/>
    <xf numFmtId="0" fontId="3" fillId="0" borderId="0" xfId="2" applyFont="1"/>
    <xf numFmtId="0" fontId="3" fillId="0" borderId="0" xfId="2" applyBorder="1"/>
    <xf numFmtId="0" fontId="3" fillId="0" borderId="0" xfId="2" applyFont="1" applyBorder="1" applyAlignment="1"/>
    <xf numFmtId="0" fontId="3" fillId="0" borderId="7" xfId="2" applyFont="1" applyBorder="1" applyAlignment="1">
      <alignment horizontal="right"/>
    </xf>
    <xf numFmtId="0" fontId="3" fillId="0" borderId="19" xfId="2" applyBorder="1" applyAlignment="1">
      <alignment horizontal="center"/>
    </xf>
    <xf numFmtId="0" fontId="3" fillId="0" borderId="9" xfId="2" applyBorder="1"/>
    <xf numFmtId="0" fontId="3" fillId="0" borderId="10" xfId="2" applyBorder="1" applyAlignment="1">
      <alignment horizontal="right"/>
    </xf>
    <xf numFmtId="0" fontId="3" fillId="0" borderId="28" xfId="2" applyBorder="1" applyAlignment="1">
      <alignment horizontal="center"/>
    </xf>
    <xf numFmtId="0" fontId="3" fillId="0" borderId="12" xfId="2" applyBorder="1"/>
    <xf numFmtId="0" fontId="3" fillId="0" borderId="20" xfId="2" applyFont="1" applyBorder="1" applyAlignment="1">
      <alignment horizontal="center"/>
    </xf>
    <xf numFmtId="0" fontId="3" fillId="0" borderId="32" xfId="2" applyFont="1" applyFill="1" applyBorder="1" applyAlignment="1">
      <alignment horizontal="center"/>
    </xf>
    <xf numFmtId="0" fontId="3" fillId="0" borderId="13" xfId="2" applyFont="1" applyFill="1" applyBorder="1" applyAlignment="1">
      <alignment horizontal="right"/>
    </xf>
    <xf numFmtId="0" fontId="3" fillId="0" borderId="33" xfId="2" applyFont="1" applyBorder="1"/>
    <xf numFmtId="0" fontId="2" fillId="0" borderId="34" xfId="2" applyFont="1" applyFill="1" applyBorder="1" applyAlignment="1">
      <alignment horizontal="right"/>
    </xf>
    <xf numFmtId="0" fontId="2" fillId="0" borderId="16" xfId="2" applyFont="1" applyBorder="1" applyAlignment="1">
      <alignment horizontal="center"/>
    </xf>
    <xf numFmtId="0" fontId="2" fillId="0" borderId="17" xfId="2" applyFont="1" applyBorder="1"/>
    <xf numFmtId="0" fontId="2" fillId="0" borderId="10" xfId="2" applyFont="1" applyBorder="1" applyAlignment="1">
      <alignment horizontal="center"/>
    </xf>
    <xf numFmtId="0" fontId="2" fillId="0" borderId="26" xfId="2" applyFont="1" applyBorder="1" applyAlignment="1">
      <alignment horizontal="center"/>
    </xf>
    <xf numFmtId="0" fontId="2" fillId="0" borderId="28" xfId="2" applyFont="1" applyFill="1" applyBorder="1" applyAlignment="1">
      <alignment horizontal="center"/>
    </xf>
    <xf numFmtId="0" fontId="2" fillId="0" borderId="12" xfId="2" applyFont="1" applyFill="1" applyBorder="1" applyAlignment="1">
      <alignment horizontal="center"/>
    </xf>
    <xf numFmtId="0" fontId="3" fillId="0" borderId="10" xfId="1" applyFont="1" applyBorder="1" applyAlignment="1"/>
    <xf numFmtId="0" fontId="3" fillId="0" borderId="26" xfId="2" applyBorder="1" applyAlignment="1">
      <alignment horizontal="center"/>
    </xf>
    <xf numFmtId="0" fontId="1" fillId="0" borderId="10" xfId="1" applyBorder="1" applyAlignment="1"/>
    <xf numFmtId="0" fontId="1" fillId="0" borderId="12" xfId="1" applyBorder="1" applyProtection="1"/>
    <xf numFmtId="0" fontId="1" fillId="0" borderId="28" xfId="1" applyFill="1" applyBorder="1" applyAlignment="1">
      <alignment horizontal="center"/>
    </xf>
    <xf numFmtId="0" fontId="1" fillId="0" borderId="12" xfId="1" applyBorder="1" applyAlignment="1">
      <alignment horizontal="center"/>
    </xf>
    <xf numFmtId="164" fontId="3" fillId="0" borderId="12" xfId="1" applyNumberFormat="1" applyFont="1" applyFill="1" applyBorder="1" applyAlignment="1" applyProtection="1">
      <alignment horizontal="center"/>
    </xf>
    <xf numFmtId="1" fontId="1" fillId="0" borderId="28" xfId="1" applyNumberFormat="1" applyBorder="1" applyAlignment="1">
      <alignment horizontal="center"/>
    </xf>
    <xf numFmtId="1" fontId="1" fillId="0" borderId="12" xfId="1" applyNumberFormat="1" applyBorder="1" applyAlignment="1">
      <alignment horizontal="center"/>
    </xf>
    <xf numFmtId="0" fontId="3" fillId="0" borderId="10" xfId="1" applyFont="1" applyBorder="1" applyAlignment="1">
      <alignment horizontal="right"/>
    </xf>
    <xf numFmtId="2" fontId="3" fillId="0" borderId="0" xfId="2" applyNumberFormat="1" applyAlignment="1">
      <alignment horizontal="right"/>
    </xf>
    <xf numFmtId="2" fontId="3" fillId="0" borderId="0" xfId="2" applyNumberFormat="1" applyAlignment="1">
      <alignment horizontal="left"/>
    </xf>
    <xf numFmtId="0" fontId="1" fillId="0" borderId="10" xfId="1" applyBorder="1"/>
    <xf numFmtId="1" fontId="3" fillId="0" borderId="26" xfId="2" applyNumberFormat="1" applyBorder="1" applyAlignment="1">
      <alignment horizontal="center"/>
    </xf>
    <xf numFmtId="0" fontId="1" fillId="0" borderId="10" xfId="1" applyBorder="1" applyAlignment="1">
      <alignment horizontal="right"/>
    </xf>
    <xf numFmtId="0" fontId="3" fillId="0" borderId="0" xfId="2" applyAlignment="1">
      <alignment horizontal="right"/>
    </xf>
    <xf numFmtId="0" fontId="3" fillId="0" borderId="0" xfId="2" quotePrefix="1" applyAlignment="1">
      <alignment horizontal="left" wrapText="1"/>
    </xf>
    <xf numFmtId="0" fontId="3" fillId="0" borderId="13" xfId="1" applyFont="1" applyBorder="1"/>
    <xf numFmtId="1" fontId="3" fillId="0" borderId="38" xfId="2" applyNumberFormat="1" applyBorder="1" applyAlignment="1">
      <alignment horizontal="center"/>
    </xf>
    <xf numFmtId="0" fontId="3" fillId="0" borderId="13" xfId="1" applyFont="1" applyBorder="1" applyAlignment="1">
      <alignment horizontal="right"/>
    </xf>
    <xf numFmtId="164" fontId="1" fillId="0" borderId="15" xfId="1" applyNumberFormat="1" applyFill="1" applyBorder="1" applyAlignment="1" applyProtection="1">
      <alignment horizontal="center"/>
      <protection locked="0"/>
    </xf>
    <xf numFmtId="0" fontId="3" fillId="0" borderId="29" xfId="2" applyBorder="1"/>
    <xf numFmtId="0" fontId="3" fillId="0" borderId="30" xfId="2" applyBorder="1"/>
    <xf numFmtId="0" fontId="13" fillId="0" borderId="30" xfId="2" applyFont="1" applyBorder="1" applyAlignment="1">
      <alignment horizontal="right"/>
    </xf>
    <xf numFmtId="1" fontId="3" fillId="0" borderId="29" xfId="2" applyNumberFormat="1" applyFont="1" applyBorder="1" applyAlignment="1">
      <alignment horizontal="center"/>
    </xf>
    <xf numFmtId="1" fontId="3" fillId="0" borderId="18" xfId="2" applyNumberFormat="1" applyFont="1" applyBorder="1" applyAlignment="1">
      <alignment horizontal="center"/>
    </xf>
    <xf numFmtId="0" fontId="6" fillId="0" borderId="29" xfId="2" applyFont="1" applyBorder="1"/>
    <xf numFmtId="0" fontId="6" fillId="0" borderId="30" xfId="2" applyFont="1" applyBorder="1"/>
    <xf numFmtId="1" fontId="5" fillId="0" borderId="30" xfId="2" applyNumberFormat="1" applyFont="1" applyBorder="1" applyAlignment="1">
      <alignment horizontal="right"/>
    </xf>
    <xf numFmtId="1" fontId="5" fillId="0" borderId="29" xfId="2" applyNumberFormat="1" applyFont="1" applyFill="1" applyBorder="1" applyAlignment="1">
      <alignment horizontal="center"/>
    </xf>
    <xf numFmtId="1" fontId="5" fillId="0" borderId="18" xfId="2" applyNumberFormat="1" applyFont="1" applyFill="1" applyBorder="1" applyAlignment="1">
      <alignment horizontal="center"/>
    </xf>
    <xf numFmtId="0" fontId="5" fillId="0" borderId="30" xfId="2" applyFont="1" applyFill="1" applyBorder="1" applyAlignment="1">
      <alignment horizontal="right"/>
    </xf>
    <xf numFmtId="1" fontId="5" fillId="0" borderId="29" xfId="2" applyNumberFormat="1" applyFont="1" applyBorder="1" applyAlignment="1">
      <alignment horizontal="center"/>
    </xf>
    <xf numFmtId="1" fontId="5" fillId="0" borderId="18" xfId="2" applyNumberFormat="1" applyFont="1" applyBorder="1" applyAlignment="1">
      <alignment horizontal="center"/>
    </xf>
    <xf numFmtId="0" fontId="10" fillId="0" borderId="6" xfId="2" applyFont="1" applyBorder="1" applyAlignment="1">
      <alignment horizontal="center"/>
    </xf>
    <xf numFmtId="0" fontId="6" fillId="2" borderId="29" xfId="2" applyFont="1" applyFill="1" applyBorder="1"/>
    <xf numFmtId="0" fontId="6" fillId="2" borderId="30" xfId="2" applyFont="1" applyFill="1" applyBorder="1"/>
    <xf numFmtId="1" fontId="6" fillId="2" borderId="30" xfId="2" applyNumberFormat="1" applyFont="1" applyFill="1" applyBorder="1" applyAlignment="1">
      <alignment horizontal="right"/>
    </xf>
    <xf numFmtId="1" fontId="6" fillId="2" borderId="29" xfId="2" applyNumberFormat="1" applyFont="1" applyFill="1" applyBorder="1" applyAlignment="1">
      <alignment horizontal="center"/>
    </xf>
    <xf numFmtId="1" fontId="6" fillId="2" borderId="18" xfId="2" applyNumberFormat="1" applyFont="1" applyFill="1" applyBorder="1" applyAlignment="1">
      <alignment horizontal="center"/>
    </xf>
    <xf numFmtId="0" fontId="6" fillId="2" borderId="30" xfId="2" applyFont="1" applyFill="1" applyBorder="1" applyAlignment="1">
      <alignment horizontal="right"/>
    </xf>
    <xf numFmtId="0" fontId="6" fillId="2" borderId="30" xfId="2" applyFont="1" applyFill="1" applyBorder="1" applyAlignment="1">
      <alignment horizontal="center"/>
    </xf>
    <xf numFmtId="0" fontId="2" fillId="0" borderId="16" xfId="2" applyFont="1" applyBorder="1"/>
    <xf numFmtId="0" fontId="3" fillId="0" borderId="0" xfId="2" applyAlignment="1">
      <alignment horizontal="left" vertical="top"/>
    </xf>
    <xf numFmtId="0" fontId="3" fillId="0" borderId="0" xfId="2" applyAlignment="1">
      <alignment horizontal="left" wrapText="1"/>
    </xf>
    <xf numFmtId="0" fontId="6" fillId="0" borderId="8" xfId="0" applyFont="1" applyBorder="1" applyAlignment="1">
      <alignment horizontal="center"/>
    </xf>
    <xf numFmtId="0" fontId="0" fillId="0" borderId="9" xfId="0" applyBorder="1"/>
    <xf numFmtId="0" fontId="6" fillId="0" borderId="11" xfId="0" applyFont="1" applyBorder="1" applyAlignment="1">
      <alignment horizontal="center"/>
    </xf>
    <xf numFmtId="0" fontId="0" fillId="0" borderId="12" xfId="0" applyBorder="1"/>
    <xf numFmtId="0" fontId="6" fillId="0" borderId="14" xfId="0" applyFont="1" applyBorder="1" applyAlignment="1">
      <alignment horizontal="center"/>
    </xf>
    <xf numFmtId="0" fontId="0" fillId="0" borderId="15" xfId="0" applyBorder="1"/>
    <xf numFmtId="0" fontId="9" fillId="0" borderId="0" xfId="0" applyFont="1" applyBorder="1" applyAlignment="1">
      <alignment horizontal="right"/>
    </xf>
    <xf numFmtId="0" fontId="0" fillId="0" borderId="0" xfId="0" applyBorder="1"/>
    <xf numFmtId="0" fontId="0" fillId="0" borderId="0" xfId="0" applyBorder="1" applyAlignment="1">
      <alignment horizontal="center" wrapText="1"/>
    </xf>
    <xf numFmtId="0" fontId="0" fillId="0" borderId="0" xfId="0" applyBorder="1" applyAlignment="1">
      <alignment horizontal="center"/>
    </xf>
    <xf numFmtId="0" fontId="4" fillId="0" borderId="0" xfId="2" applyFont="1"/>
    <xf numFmtId="0" fontId="9" fillId="0" borderId="0" xfId="0" applyFont="1" applyBorder="1" applyAlignment="1">
      <alignment horizontal="left"/>
    </xf>
    <xf numFmtId="0" fontId="16" fillId="0" borderId="0" xfId="0" applyFont="1"/>
    <xf numFmtId="0" fontId="16" fillId="0" borderId="0" xfId="0" applyFont="1" applyAlignment="1">
      <alignment horizontal="right"/>
    </xf>
    <xf numFmtId="0" fontId="6" fillId="0" borderId="27" xfId="0" applyFont="1" applyBorder="1" applyAlignment="1">
      <alignment horizontal="right"/>
    </xf>
    <xf numFmtId="0" fontId="0" fillId="0" borderId="27" xfId="0" applyBorder="1"/>
    <xf numFmtId="0" fontId="0" fillId="0" borderId="36" xfId="0" applyBorder="1"/>
    <xf numFmtId="0" fontId="6" fillId="0" borderId="37" xfId="0" applyFont="1" applyBorder="1" applyAlignment="1">
      <alignment horizontal="right"/>
    </xf>
    <xf numFmtId="0" fontId="0" fillId="0" borderId="41" xfId="0" applyBorder="1"/>
    <xf numFmtId="0" fontId="0" fillId="0" borderId="40" xfId="0" applyBorder="1"/>
    <xf numFmtId="0" fontId="6" fillId="0" borderId="42" xfId="0" applyFont="1" applyBorder="1" applyAlignment="1">
      <alignment horizontal="right"/>
    </xf>
    <xf numFmtId="0" fontId="0" fillId="0" borderId="42" xfId="0" applyBorder="1"/>
    <xf numFmtId="0" fontId="0" fillId="0" borderId="0" xfId="0" applyAlignment="1">
      <alignment horizontal="right"/>
    </xf>
    <xf numFmtId="0" fontId="0" fillId="0" borderId="0" xfId="0" quotePrefix="1"/>
    <xf numFmtId="0" fontId="6" fillId="0" borderId="14" xfId="0" applyFont="1" applyBorder="1" applyAlignment="1">
      <alignment horizontal="center"/>
    </xf>
    <xf numFmtId="0" fontId="2" fillId="0" borderId="12" xfId="2" applyFont="1" applyFill="1" applyBorder="1" applyAlignment="1">
      <alignment horizontal="center"/>
    </xf>
    <xf numFmtId="0" fontId="0" fillId="0" borderId="46" xfId="0" applyBorder="1"/>
    <xf numFmtId="0" fontId="0" fillId="0" borderId="29" xfId="0" applyBorder="1"/>
    <xf numFmtId="0" fontId="0" fillId="0" borderId="0" xfId="0" applyAlignment="1">
      <alignment horizontal="center"/>
    </xf>
    <xf numFmtId="0" fontId="0" fillId="0" borderId="49" xfId="0" applyBorder="1"/>
    <xf numFmtId="0" fontId="0" fillId="0" borderId="10" xfId="0" applyBorder="1"/>
    <xf numFmtId="0" fontId="0" fillId="0" borderId="51" xfId="0" applyBorder="1"/>
    <xf numFmtId="0" fontId="0" fillId="0" borderId="23" xfId="0" applyBorder="1"/>
    <xf numFmtId="0" fontId="0" fillId="0" borderId="13" xfId="0" applyBorder="1"/>
    <xf numFmtId="164" fontId="3" fillId="0" borderId="19" xfId="2" applyNumberFormat="1" applyBorder="1" applyAlignment="1">
      <alignment horizontal="center"/>
    </xf>
    <xf numFmtId="0" fontId="3" fillId="0" borderId="9" xfId="2" applyFont="1" applyBorder="1"/>
    <xf numFmtId="164" fontId="2" fillId="0" borderId="16" xfId="2" applyNumberFormat="1" applyFont="1" applyBorder="1" applyAlignment="1">
      <alignment horizontal="center"/>
    </xf>
    <xf numFmtId="0" fontId="3" fillId="0" borderId="10" xfId="2" applyFont="1" applyBorder="1" applyAlignment="1"/>
    <xf numFmtId="0" fontId="3" fillId="0" borderId="10" xfId="2" applyBorder="1" applyAlignment="1"/>
    <xf numFmtId="0" fontId="3" fillId="0" borderId="12" xfId="2" applyBorder="1" applyProtection="1"/>
    <xf numFmtId="1" fontId="3" fillId="0" borderId="28" xfId="2" applyNumberFormat="1" applyFill="1" applyBorder="1" applyAlignment="1">
      <alignment horizontal="center"/>
    </xf>
    <xf numFmtId="1" fontId="3" fillId="0" borderId="12" xfId="2" applyNumberFormat="1" applyBorder="1" applyAlignment="1">
      <alignment horizontal="center"/>
    </xf>
    <xf numFmtId="164" fontId="3" fillId="0" borderId="12" xfId="2" applyNumberFormat="1" applyFont="1" applyFill="1" applyBorder="1" applyAlignment="1" applyProtection="1">
      <alignment horizontal="center"/>
    </xf>
    <xf numFmtId="1" fontId="3" fillId="0" borderId="28" xfId="2" applyNumberFormat="1" applyBorder="1" applyAlignment="1">
      <alignment horizontal="center"/>
    </xf>
    <xf numFmtId="0" fontId="3" fillId="0" borderId="10" xfId="2" applyFont="1" applyBorder="1" applyAlignment="1">
      <alignment horizontal="right"/>
    </xf>
    <xf numFmtId="0" fontId="3" fillId="0" borderId="10" xfId="2" applyBorder="1"/>
    <xf numFmtId="0" fontId="3" fillId="0" borderId="13" xfId="2" applyFont="1" applyBorder="1"/>
    <xf numFmtId="0" fontId="3" fillId="0" borderId="13" xfId="2" applyFont="1" applyBorder="1" applyAlignment="1">
      <alignment horizontal="right"/>
    </xf>
    <xf numFmtId="164" fontId="3" fillId="0" borderId="15" xfId="2" applyNumberFormat="1" applyFill="1" applyBorder="1" applyAlignment="1" applyProtection="1">
      <alignment horizontal="center"/>
    </xf>
    <xf numFmtId="0" fontId="6" fillId="0" borderId="0" xfId="0" applyFont="1" applyBorder="1" applyAlignment="1">
      <alignment horizontal="right"/>
    </xf>
    <xf numFmtId="0" fontId="6" fillId="0" borderId="0" xfId="0" applyFont="1" applyBorder="1" applyAlignment="1">
      <alignment horizontal="center"/>
    </xf>
    <xf numFmtId="0" fontId="15" fillId="0" borderId="0" xfId="2" applyFont="1" applyBorder="1" applyAlignment="1"/>
    <xf numFmtId="0" fontId="6" fillId="0" borderId="11" xfId="0" applyFont="1" applyBorder="1" applyAlignment="1">
      <alignment horizontal="right"/>
    </xf>
    <xf numFmtId="0" fontId="6" fillId="0" borderId="14" xfId="0" applyFont="1" applyBorder="1" applyAlignment="1">
      <alignment horizontal="right"/>
    </xf>
    <xf numFmtId="0" fontId="0" fillId="0" borderId="20" xfId="0" applyBorder="1"/>
    <xf numFmtId="0" fontId="6" fillId="0" borderId="21" xfId="0" applyFont="1" applyBorder="1" applyAlignment="1">
      <alignment horizontal="right"/>
    </xf>
    <xf numFmtId="0" fontId="6" fillId="0" borderId="21" xfId="0" applyFont="1" applyBorder="1" applyAlignment="1">
      <alignment horizontal="center"/>
    </xf>
    <xf numFmtId="0" fontId="0" fillId="0" borderId="32" xfId="0" applyBorder="1"/>
    <xf numFmtId="1" fontId="3" fillId="0" borderId="26" xfId="2" quotePrefix="1" applyNumberFormat="1" applyBorder="1" applyAlignment="1">
      <alignment horizontal="center"/>
    </xf>
    <xf numFmtId="0" fontId="6" fillId="0" borderId="0" xfId="0" applyFont="1" applyFill="1" applyBorder="1" applyAlignment="1">
      <alignment horizontal="center"/>
    </xf>
    <xf numFmtId="0" fontId="7" fillId="0" borderId="21" xfId="0" applyFont="1" applyBorder="1" applyAlignment="1">
      <alignment horizontal="right"/>
    </xf>
    <xf numFmtId="0" fontId="7" fillId="0" borderId="22" xfId="0" applyFont="1" applyBorder="1" applyAlignment="1">
      <alignment horizontal="right"/>
    </xf>
    <xf numFmtId="0" fontId="9" fillId="0" borderId="24" xfId="0" applyFont="1" applyBorder="1"/>
    <xf numFmtId="0" fontId="6" fillId="0" borderId="25" xfId="0" applyFont="1" applyBorder="1" applyAlignment="1">
      <alignment horizontal="right"/>
    </xf>
    <xf numFmtId="0" fontId="0" fillId="0" borderId="25" xfId="0" applyBorder="1"/>
    <xf numFmtId="0" fontId="15" fillId="0" borderId="24" xfId="2" applyFont="1" applyBorder="1" applyAlignment="1">
      <alignment vertical="center"/>
    </xf>
    <xf numFmtId="0" fontId="0" fillId="0" borderId="52" xfId="0" applyBorder="1"/>
    <xf numFmtId="0" fontId="3" fillId="3" borderId="14" xfId="2" applyFill="1" applyBorder="1" applyAlignment="1" applyProtection="1">
      <alignment horizontal="center"/>
      <protection locked="0"/>
    </xf>
    <xf numFmtId="1" fontId="3" fillId="3" borderId="10" xfId="2" applyNumberFormat="1" applyFill="1" applyBorder="1" applyAlignment="1" applyProtection="1">
      <alignment horizontal="center"/>
      <protection locked="0"/>
    </xf>
    <xf numFmtId="13" fontId="3" fillId="3" borderId="12" xfId="2" applyNumberFormat="1" applyFill="1" applyBorder="1" applyAlignment="1" applyProtection="1">
      <alignment horizontal="center"/>
      <protection locked="0"/>
    </xf>
    <xf numFmtId="0" fontId="2" fillId="3" borderId="29" xfId="2" applyFont="1" applyFill="1" applyBorder="1" applyAlignment="1"/>
    <xf numFmtId="0" fontId="3" fillId="3" borderId="18" xfId="2" applyFont="1" applyFill="1" applyBorder="1" applyAlignment="1"/>
    <xf numFmtId="164" fontId="1" fillId="3" borderId="12" xfId="1" applyNumberFormat="1" applyFill="1" applyBorder="1" applyAlignment="1" applyProtection="1">
      <alignment horizontal="center"/>
      <protection locked="0"/>
    </xf>
    <xf numFmtId="164" fontId="3" fillId="3" borderId="12" xfId="2" applyNumberFormat="1" applyFill="1" applyBorder="1" applyAlignment="1" applyProtection="1">
      <alignment horizontal="center"/>
      <protection locked="0"/>
    </xf>
    <xf numFmtId="0" fontId="5" fillId="3" borderId="45" xfId="0" applyFont="1" applyFill="1" applyBorder="1" applyAlignment="1" applyProtection="1">
      <alignment horizontal="center"/>
      <protection locked="0"/>
    </xf>
    <xf numFmtId="1" fontId="5" fillId="3" borderId="30" xfId="2" applyNumberFormat="1" applyFont="1" applyFill="1" applyBorder="1" applyAlignment="1" applyProtection="1">
      <alignment horizontal="center"/>
      <protection locked="0"/>
    </xf>
    <xf numFmtId="0" fontId="3" fillId="0" borderId="10" xfId="1" applyFont="1" applyBorder="1"/>
    <xf numFmtId="0" fontId="3" fillId="0" borderId="0" xfId="2" quotePrefix="1"/>
    <xf numFmtId="0" fontId="3" fillId="0" borderId="0" xfId="2" quotePrefix="1" applyAlignment="1"/>
    <xf numFmtId="0" fontId="4" fillId="0" borderId="0" xfId="2" applyFont="1" applyAlignment="1">
      <alignment horizontal="left" vertical="top" wrapText="1"/>
    </xf>
    <xf numFmtId="0" fontId="0" fillId="0" borderId="8" xfId="0" applyBorder="1" applyAlignment="1">
      <alignment horizontal="center" wrapText="1"/>
    </xf>
    <xf numFmtId="0" fontId="0" fillId="3" borderId="14" xfId="0" applyFill="1" applyBorder="1" applyAlignment="1" applyProtection="1">
      <alignment horizontal="center"/>
      <protection locked="0"/>
    </xf>
    <xf numFmtId="0" fontId="7" fillId="0" borderId="37" xfId="0" applyFont="1" applyBorder="1" applyAlignment="1">
      <alignment horizontal="center" vertical="top" wrapText="1"/>
    </xf>
    <xf numFmtId="0" fontId="7" fillId="0" borderId="39" xfId="0" applyFont="1" applyBorder="1" applyAlignment="1">
      <alignment horizontal="center" vertical="top" wrapText="1"/>
    </xf>
    <xf numFmtId="0" fontId="9" fillId="0" borderId="30" xfId="0" applyFont="1" applyBorder="1" applyAlignment="1">
      <alignment horizontal="center"/>
    </xf>
    <xf numFmtId="0" fontId="5" fillId="0" borderId="0" xfId="0" applyFont="1" applyFill="1" applyBorder="1" applyAlignment="1">
      <alignment horizontal="center"/>
    </xf>
    <xf numFmtId="0" fontId="7" fillId="0" borderId="53" xfId="0" applyFont="1" applyBorder="1" applyAlignment="1">
      <alignment horizontal="center" vertical="top" wrapText="1"/>
    </xf>
    <xf numFmtId="0" fontId="7" fillId="0" borderId="4" xfId="0" applyFont="1" applyBorder="1" applyAlignment="1">
      <alignment horizontal="center" vertical="top" wrapText="1"/>
    </xf>
    <xf numFmtId="0" fontId="0" fillId="0" borderId="42" xfId="0" applyBorder="1" applyAlignment="1">
      <alignment horizontal="center"/>
    </xf>
    <xf numFmtId="0" fontId="0" fillId="0" borderId="33" xfId="0" applyBorder="1" applyAlignment="1">
      <alignment horizontal="center"/>
    </xf>
    <xf numFmtId="0" fontId="0" fillId="0" borderId="40" xfId="0" applyBorder="1" applyAlignment="1">
      <alignment horizontal="center" wrapText="1"/>
    </xf>
    <xf numFmtId="0" fontId="0" fillId="0" borderId="0" xfId="0" applyFill="1" applyBorder="1" applyAlignment="1">
      <alignment horizontal="center"/>
    </xf>
    <xf numFmtId="0" fontId="7" fillId="0" borderId="0" xfId="0" applyFont="1" applyBorder="1"/>
    <xf numFmtId="0" fontId="7" fillId="0" borderId="0" xfId="0" applyFont="1" applyBorder="1" applyAlignment="1"/>
    <xf numFmtId="0" fontId="7" fillId="0" borderId="0" xfId="0" applyFont="1" applyBorder="1" applyAlignment="1">
      <alignment horizontal="center"/>
    </xf>
    <xf numFmtId="0" fontId="0" fillId="0" borderId="4" xfId="0" applyBorder="1"/>
    <xf numFmtId="0" fontId="0" fillId="0" borderId="53" xfId="0" applyBorder="1"/>
    <xf numFmtId="0" fontId="7" fillId="0" borderId="27" xfId="0" applyFont="1" applyBorder="1" applyAlignment="1">
      <alignment horizontal="center" vertical="top" wrapText="1"/>
    </xf>
    <xf numFmtId="0" fontId="7" fillId="0" borderId="45" xfId="0" applyFont="1" applyBorder="1" applyAlignment="1">
      <alignment horizontal="center" vertical="top" wrapText="1"/>
    </xf>
    <xf numFmtId="0" fontId="0" fillId="0" borderId="41" xfId="0" applyBorder="1" applyAlignment="1">
      <alignment horizontal="center" wrapText="1"/>
    </xf>
    <xf numFmtId="0" fontId="0" fillId="0" borderId="27" xfId="0" applyBorder="1" applyAlignment="1">
      <alignment horizontal="center"/>
    </xf>
    <xf numFmtId="0" fontId="0" fillId="0" borderId="45" xfId="0" applyBorder="1" applyAlignment="1">
      <alignment horizontal="center"/>
    </xf>
    <xf numFmtId="0" fontId="0" fillId="0" borderId="45" xfId="0" applyBorder="1"/>
    <xf numFmtId="0" fontId="0" fillId="0" borderId="54" xfId="0" applyBorder="1"/>
    <xf numFmtId="0" fontId="0" fillId="0" borderId="55" xfId="0" applyBorder="1"/>
    <xf numFmtId="0" fontId="9" fillId="0" borderId="49" xfId="0" applyFont="1" applyBorder="1"/>
    <xf numFmtId="0" fontId="9" fillId="0" borderId="52" xfId="0" applyFont="1" applyBorder="1"/>
    <xf numFmtId="0" fontId="9" fillId="0" borderId="55" xfId="0" applyFont="1" applyBorder="1"/>
    <xf numFmtId="0" fontId="9" fillId="0" borderId="55" xfId="0" applyFont="1" applyBorder="1" applyAlignment="1">
      <alignment horizontal="right"/>
    </xf>
    <xf numFmtId="0" fontId="9" fillId="0" borderId="46" xfId="0" applyFont="1" applyBorder="1"/>
    <xf numFmtId="0" fontId="19" fillId="0" borderId="0" xfId="2" applyFont="1" applyBorder="1"/>
    <xf numFmtId="0" fontId="2" fillId="0" borderId="0" xfId="2" applyFont="1" applyBorder="1" applyAlignment="1"/>
    <xf numFmtId="0" fontId="16" fillId="0" borderId="0" xfId="0" applyFont="1" applyBorder="1" applyAlignment="1">
      <alignment horizontal="right"/>
    </xf>
    <xf numFmtId="0" fontId="16" fillId="0" borderId="0" xfId="0" applyFont="1" applyBorder="1"/>
    <xf numFmtId="0" fontId="0" fillId="0" borderId="12" xfId="0" applyBorder="1" applyAlignment="1">
      <alignment horizontal="center" wrapText="1"/>
    </xf>
    <xf numFmtId="0" fontId="7" fillId="0" borderId="45" xfId="0" applyFont="1" applyBorder="1" applyAlignment="1">
      <alignment vertical="top" wrapText="1"/>
    </xf>
    <xf numFmtId="0" fontId="0" fillId="0" borderId="42" xfId="0" applyBorder="1" applyAlignment="1"/>
    <xf numFmtId="0" fontId="20" fillId="0" borderId="0" xfId="0" applyFont="1" applyBorder="1" applyAlignment="1">
      <alignment horizontal="right"/>
    </xf>
    <xf numFmtId="0" fontId="20" fillId="0" borderId="0" xfId="0" applyFont="1" applyBorder="1"/>
    <xf numFmtId="0" fontId="22" fillId="0" borderId="0" xfId="0" applyFont="1" applyBorder="1"/>
    <xf numFmtId="0" fontId="23" fillId="0" borderId="0" xfId="0" applyFont="1" applyBorder="1" applyAlignment="1">
      <alignment horizontal="right"/>
    </xf>
    <xf numFmtId="0" fontId="23" fillId="0" borderId="0" xfId="0" applyFont="1" applyBorder="1"/>
    <xf numFmtId="0" fontId="22" fillId="0" borderId="0" xfId="0" applyFont="1"/>
    <xf numFmtId="0" fontId="23" fillId="0" borderId="0" xfId="0" applyFont="1" applyAlignment="1">
      <alignment horizontal="right"/>
    </xf>
    <xf numFmtId="0" fontId="8" fillId="0" borderId="58" xfId="2" applyFont="1" applyBorder="1" applyAlignment="1">
      <alignment horizontal="center"/>
    </xf>
    <xf numFmtId="0" fontId="8" fillId="0" borderId="61" xfId="2" applyFont="1" applyBorder="1" applyAlignment="1">
      <alignment horizontal="center"/>
    </xf>
    <xf numFmtId="0" fontId="5" fillId="0" borderId="62" xfId="0" applyFont="1" applyBorder="1" applyAlignment="1">
      <alignment horizontal="center"/>
    </xf>
    <xf numFmtId="0" fontId="5" fillId="3" borderId="62" xfId="0" applyFont="1" applyFill="1" applyBorder="1" applyAlignment="1" applyProtection="1">
      <alignment horizontal="center"/>
      <protection locked="0"/>
    </xf>
    <xf numFmtId="0" fontId="5" fillId="3" borderId="63" xfId="0" applyFont="1" applyFill="1" applyBorder="1" applyAlignment="1" applyProtection="1">
      <alignment horizontal="center"/>
      <protection locked="0"/>
    </xf>
    <xf numFmtId="0" fontId="8" fillId="0" borderId="64" xfId="2" applyFont="1" applyBorder="1" applyAlignment="1">
      <alignment horizontal="center"/>
    </xf>
    <xf numFmtId="0" fontId="5" fillId="0" borderId="57" xfId="0" applyFont="1" applyBorder="1" applyAlignment="1">
      <alignment horizontal="center"/>
    </xf>
    <xf numFmtId="0" fontId="5" fillId="3" borderId="57" xfId="0" applyFont="1" applyFill="1" applyBorder="1" applyAlignment="1" applyProtection="1">
      <alignment horizontal="center"/>
      <protection locked="0"/>
    </xf>
    <xf numFmtId="0" fontId="5" fillId="3" borderId="56" xfId="0" applyFont="1" applyFill="1" applyBorder="1" applyAlignment="1" applyProtection="1">
      <alignment horizontal="center"/>
      <protection locked="0"/>
    </xf>
    <xf numFmtId="0" fontId="5" fillId="0" borderId="59" xfId="0" applyFont="1" applyBorder="1" applyAlignment="1">
      <alignment horizontal="center"/>
    </xf>
    <xf numFmtId="0" fontId="5" fillId="3" borderId="59" xfId="0" applyFont="1" applyFill="1" applyBorder="1" applyAlignment="1" applyProtection="1">
      <alignment horizontal="center"/>
      <protection locked="0"/>
    </xf>
    <xf numFmtId="0" fontId="5" fillId="3" borderId="60" xfId="0" applyFont="1" applyFill="1" applyBorder="1" applyAlignment="1" applyProtection="1">
      <alignment horizontal="center"/>
      <protection locked="0"/>
    </xf>
    <xf numFmtId="0" fontId="5" fillId="0" borderId="59" xfId="0" applyFont="1" applyFill="1" applyBorder="1" applyAlignment="1">
      <alignment horizontal="center"/>
    </xf>
    <xf numFmtId="0" fontId="5" fillId="0" borderId="60" xfId="0" applyFont="1" applyFill="1" applyBorder="1" applyAlignment="1">
      <alignment horizontal="center"/>
    </xf>
    <xf numFmtId="0" fontId="5" fillId="0" borderId="62" xfId="0" applyFont="1" applyFill="1" applyBorder="1" applyAlignment="1">
      <alignment horizontal="center"/>
    </xf>
    <xf numFmtId="0" fontId="15" fillId="0" borderId="58" xfId="2" applyFont="1" applyBorder="1" applyAlignment="1">
      <alignment horizontal="center"/>
    </xf>
    <xf numFmtId="0" fontId="7" fillId="0" borderId="59" xfId="0" applyFont="1" applyBorder="1" applyAlignment="1">
      <alignment horizontal="center"/>
    </xf>
    <xf numFmtId="0" fontId="7" fillId="3" borderId="59" xfId="0" applyFont="1" applyFill="1" applyBorder="1" applyAlignment="1" applyProtection="1">
      <alignment horizontal="center"/>
      <protection locked="0"/>
    </xf>
    <xf numFmtId="0" fontId="7" fillId="3" borderId="60" xfId="0" applyFont="1" applyFill="1" applyBorder="1" applyAlignment="1" applyProtection="1">
      <alignment horizontal="center"/>
      <protection locked="0"/>
    </xf>
    <xf numFmtId="0" fontId="15" fillId="0" borderId="64" xfId="2" applyFont="1" applyBorder="1" applyAlignment="1">
      <alignment horizontal="center"/>
    </xf>
    <xf numFmtId="0" fontId="7" fillId="0" borderId="57" xfId="0" applyFont="1" applyBorder="1" applyAlignment="1">
      <alignment horizontal="center"/>
    </xf>
    <xf numFmtId="0" fontId="7" fillId="3" borderId="57" xfId="0" applyFont="1" applyFill="1" applyBorder="1" applyAlignment="1" applyProtection="1">
      <alignment horizontal="center"/>
      <protection locked="0"/>
    </xf>
    <xf numFmtId="0" fontId="7" fillId="3" borderId="56" xfId="0" applyFont="1" applyFill="1" applyBorder="1" applyAlignment="1" applyProtection="1">
      <alignment horizontal="center"/>
      <protection locked="0"/>
    </xf>
    <xf numFmtId="0" fontId="0" fillId="0" borderId="59" xfId="0" applyBorder="1"/>
    <xf numFmtId="0" fontId="0" fillId="0" borderId="57" xfId="0" applyBorder="1"/>
    <xf numFmtId="0" fontId="0" fillId="0" borderId="60" xfId="0" applyBorder="1"/>
    <xf numFmtId="0" fontId="0" fillId="0" borderId="56" xfId="0" applyBorder="1"/>
    <xf numFmtId="0" fontId="0" fillId="0" borderId="58" xfId="0" applyBorder="1" applyAlignment="1">
      <alignment horizontal="center" wrapText="1"/>
    </xf>
    <xf numFmtId="0" fontId="0" fillId="0" borderId="65" xfId="0" applyBorder="1" applyAlignment="1">
      <alignment horizontal="center"/>
    </xf>
    <xf numFmtId="0" fontId="0" fillId="0" borderId="66" xfId="0" applyBorder="1" applyAlignment="1">
      <alignment horizontal="center" wrapText="1"/>
    </xf>
    <xf numFmtId="0" fontId="7" fillId="0" borderId="67" xfId="0" applyFont="1" applyBorder="1" applyAlignment="1">
      <alignment horizontal="center"/>
    </xf>
    <xf numFmtId="0" fontId="7" fillId="3" borderId="67" xfId="0" applyFont="1" applyFill="1" applyBorder="1" applyAlignment="1" applyProtection="1">
      <alignment horizontal="center"/>
      <protection locked="0"/>
    </xf>
    <xf numFmtId="0" fontId="0" fillId="0" borderId="68" xfId="0" applyBorder="1" applyAlignment="1">
      <alignment horizontal="center"/>
    </xf>
    <xf numFmtId="0" fontId="7" fillId="0" borderId="59" xfId="0" applyFont="1" applyBorder="1" applyAlignment="1"/>
    <xf numFmtId="0" fontId="7" fillId="0" borderId="57" xfId="0" applyFont="1" applyBorder="1" applyAlignment="1"/>
    <xf numFmtId="0" fontId="7" fillId="3" borderId="60" xfId="0" applyFont="1" applyFill="1" applyBorder="1" applyAlignment="1" applyProtection="1">
      <protection locked="0"/>
    </xf>
    <xf numFmtId="0" fontId="7" fillId="3" borderId="56" xfId="0" applyFont="1" applyFill="1" applyBorder="1" applyAlignment="1" applyProtection="1">
      <protection locked="0"/>
    </xf>
    <xf numFmtId="0" fontId="11" fillId="0" borderId="0" xfId="0" applyFont="1" applyFill="1" applyBorder="1" applyAlignment="1"/>
    <xf numFmtId="0" fontId="23" fillId="0" borderId="0" xfId="0" applyFont="1" applyBorder="1" applyAlignment="1">
      <alignment vertical="top" wrapText="1"/>
    </xf>
    <xf numFmtId="0" fontId="23" fillId="0" borderId="0" xfId="0" applyFont="1" applyBorder="1" applyAlignment="1">
      <alignment vertical="top"/>
    </xf>
    <xf numFmtId="0" fontId="7" fillId="0" borderId="48" xfId="0" applyFont="1" applyBorder="1" applyAlignment="1">
      <alignment horizontal="center" vertical="top" wrapText="1"/>
    </xf>
    <xf numFmtId="0" fontId="7" fillId="0" borderId="47" xfId="0" applyFont="1" applyBorder="1" applyAlignment="1">
      <alignment horizontal="center"/>
    </xf>
    <xf numFmtId="0" fontId="6" fillId="0" borderId="48" xfId="0" applyFont="1" applyBorder="1" applyAlignment="1">
      <alignment horizontal="center"/>
    </xf>
    <xf numFmtId="0" fontId="11" fillId="0" borderId="0" xfId="0" applyFont="1" applyFill="1" applyBorder="1" applyAlignment="1">
      <alignment horizontal="center" vertical="center" wrapText="1"/>
    </xf>
    <xf numFmtId="0" fontId="9" fillId="0" borderId="0" xfId="0" applyFont="1" applyFill="1" applyBorder="1" applyAlignment="1">
      <alignment horizontal="center"/>
    </xf>
    <xf numFmtId="0" fontId="11" fillId="0" borderId="0" xfId="0" applyFont="1" applyBorder="1" applyAlignment="1">
      <alignment horizontal="center" vertical="center" wrapText="1"/>
    </xf>
    <xf numFmtId="0" fontId="20" fillId="0" borderId="0" xfId="0" applyFont="1" applyAlignment="1">
      <alignment horizontal="right"/>
    </xf>
    <xf numFmtId="0" fontId="20" fillId="0" borderId="0" xfId="0" applyFont="1"/>
    <xf numFmtId="0" fontId="20" fillId="0" borderId="0" xfId="0" applyFont="1" applyFill="1" applyBorder="1" applyAlignment="1">
      <alignment horizontal="right"/>
    </xf>
    <xf numFmtId="0" fontId="20" fillId="0" borderId="0" xfId="0" quotePrefix="1" applyFont="1"/>
    <xf numFmtId="0" fontId="9" fillId="0" borderId="0" xfId="0" applyFont="1" applyBorder="1" applyAlignment="1">
      <alignment horizontal="center" wrapText="1"/>
    </xf>
    <xf numFmtId="0" fontId="0" fillId="0" borderId="0" xfId="0" applyFill="1" applyBorder="1"/>
    <xf numFmtId="0" fontId="9" fillId="0" borderId="5" xfId="0" quotePrefix="1" applyFont="1" applyBorder="1" applyAlignment="1">
      <alignment horizontal="center"/>
    </xf>
    <xf numFmtId="0" fontId="9" fillId="0" borderId="17" xfId="0" applyFont="1" applyBorder="1" applyAlignment="1">
      <alignment horizontal="center"/>
    </xf>
    <xf numFmtId="0" fontId="9" fillId="0" borderId="5" xfId="0" applyFont="1" applyBorder="1" applyAlignment="1">
      <alignment horizontal="center"/>
    </xf>
    <xf numFmtId="0" fontId="7" fillId="0" borderId="50" xfId="0" applyFont="1" applyBorder="1" applyAlignment="1">
      <alignment horizontal="center"/>
    </xf>
    <xf numFmtId="0" fontId="7" fillId="0" borderId="18" xfId="0" applyFont="1" applyBorder="1" applyAlignment="1">
      <alignment horizontal="center" vertical="top" wrapText="1"/>
    </xf>
    <xf numFmtId="0" fontId="7" fillId="0" borderId="54" xfId="0" applyFont="1" applyBorder="1" applyAlignment="1">
      <alignment horizontal="center"/>
    </xf>
    <xf numFmtId="0" fontId="6" fillId="0" borderId="18" xfId="0" applyFont="1" applyBorder="1" applyAlignment="1">
      <alignment horizontal="center"/>
    </xf>
    <xf numFmtId="0" fontId="7" fillId="0" borderId="49" xfId="0" applyFont="1" applyBorder="1" applyAlignment="1">
      <alignment horizontal="center" vertical="top" wrapText="1"/>
    </xf>
    <xf numFmtId="0" fontId="7" fillId="0" borderId="55" xfId="0" applyFont="1" applyBorder="1" applyAlignment="1">
      <alignment horizontal="center" vertical="top" wrapText="1"/>
    </xf>
    <xf numFmtId="0" fontId="5" fillId="3" borderId="54" xfId="0" applyFont="1" applyFill="1" applyBorder="1" applyAlignment="1" applyProtection="1">
      <alignment horizontal="center"/>
      <protection locked="0"/>
    </xf>
    <xf numFmtId="0" fontId="0" fillId="0" borderId="59" xfId="0" applyBorder="1" applyAlignment="1">
      <alignment horizontal="center"/>
    </xf>
    <xf numFmtId="0" fontId="5" fillId="0" borderId="58" xfId="0" applyFont="1" applyBorder="1" applyAlignment="1">
      <alignment horizontal="center"/>
    </xf>
    <xf numFmtId="0" fontId="5" fillId="0" borderId="58" xfId="0" applyFont="1" applyFill="1" applyBorder="1" applyAlignment="1">
      <alignment horizontal="center"/>
    </xf>
    <xf numFmtId="0" fontId="0" fillId="0" borderId="62" xfId="0" applyBorder="1" applyAlignment="1">
      <alignment horizontal="center"/>
    </xf>
    <xf numFmtId="0" fontId="5" fillId="0" borderId="61" xfId="0" applyFont="1" applyBorder="1" applyAlignment="1">
      <alignment horizontal="center"/>
    </xf>
    <xf numFmtId="0" fontId="5" fillId="0" borderId="61" xfId="0" applyFont="1" applyFill="1" applyBorder="1" applyAlignment="1">
      <alignment horizontal="center"/>
    </xf>
    <xf numFmtId="0" fontId="0" fillId="0" borderId="57" xfId="0" applyBorder="1" applyAlignment="1">
      <alignment horizontal="center"/>
    </xf>
    <xf numFmtId="0" fontId="5" fillId="0" borderId="64" xfId="0" applyFont="1" applyBorder="1" applyAlignment="1">
      <alignment horizontal="center"/>
    </xf>
    <xf numFmtId="0" fontId="5" fillId="0" borderId="64" xfId="0" applyFont="1" applyFill="1" applyBorder="1" applyAlignment="1">
      <alignment horizontal="center"/>
    </xf>
    <xf numFmtId="0" fontId="9" fillId="0" borderId="0" xfId="0" applyFont="1" applyBorder="1"/>
    <xf numFmtId="0" fontId="10" fillId="0" borderId="53" xfId="0" applyFont="1" applyBorder="1" applyAlignment="1">
      <alignment vertical="center" wrapText="1"/>
    </xf>
    <xf numFmtId="0" fontId="10" fillId="0" borderId="53" xfId="0" applyFont="1" applyBorder="1" applyAlignment="1">
      <alignment vertical="center"/>
    </xf>
    <xf numFmtId="0" fontId="10" fillId="0" borderId="55" xfId="0" applyFont="1" applyBorder="1" applyAlignment="1">
      <alignment vertical="center"/>
    </xf>
    <xf numFmtId="0" fontId="7" fillId="0" borderId="44" xfId="0" applyFont="1" applyBorder="1" applyAlignment="1">
      <alignment horizontal="center" vertical="top" wrapText="1"/>
    </xf>
    <xf numFmtId="0" fontId="9" fillId="0" borderId="44" xfId="0" applyFont="1" applyFill="1" applyBorder="1" applyAlignment="1">
      <alignment horizontal="center"/>
    </xf>
    <xf numFmtId="0" fontId="0" fillId="0" borderId="64" xfId="0" applyFont="1" applyFill="1" applyBorder="1" applyAlignment="1">
      <alignment horizontal="center"/>
    </xf>
    <xf numFmtId="0" fontId="0" fillId="3" borderId="56" xfId="0" applyFont="1" applyFill="1" applyBorder="1" applyAlignment="1" applyProtection="1">
      <alignment horizontal="center"/>
      <protection locked="0"/>
    </xf>
    <xf numFmtId="0" fontId="0" fillId="0" borderId="70" xfId="0" applyFont="1" applyBorder="1" applyAlignment="1">
      <alignment horizontal="center" vertical="center" wrapText="1"/>
    </xf>
    <xf numFmtId="0" fontId="0" fillId="0" borderId="71" xfId="0" applyBorder="1" applyAlignment="1">
      <alignment horizontal="left" vertical="center"/>
    </xf>
    <xf numFmtId="0" fontId="0" fillId="0" borderId="63" xfId="0" applyBorder="1" applyAlignment="1">
      <alignment horizontal="left" vertical="center"/>
    </xf>
    <xf numFmtId="0" fontId="0" fillId="0" borderId="62" xfId="0" applyFont="1" applyBorder="1" applyAlignment="1">
      <alignment horizontal="center" vertical="center" wrapText="1"/>
    </xf>
    <xf numFmtId="0" fontId="0" fillId="0" borderId="73" xfId="0" applyBorder="1" applyAlignment="1">
      <alignment horizontal="left" vertical="center"/>
    </xf>
    <xf numFmtId="0" fontId="11" fillId="0" borderId="43" xfId="0" applyFont="1" applyBorder="1" applyAlignment="1">
      <alignment horizontal="center" vertical="center" wrapText="1"/>
    </xf>
    <xf numFmtId="0" fontId="5" fillId="0" borderId="44" xfId="0" applyFont="1" applyFill="1" applyBorder="1" applyAlignment="1">
      <alignment horizontal="center"/>
    </xf>
    <xf numFmtId="0" fontId="0" fillId="4" borderId="74" xfId="0" applyFont="1" applyFill="1" applyBorder="1" applyAlignment="1">
      <alignment vertical="center"/>
    </xf>
    <xf numFmtId="0" fontId="5" fillId="4" borderId="73" xfId="0" applyFont="1" applyFill="1" applyBorder="1" applyAlignment="1">
      <alignment vertical="center"/>
    </xf>
    <xf numFmtId="0" fontId="5" fillId="4" borderId="4" xfId="0" applyFont="1" applyFill="1" applyBorder="1" applyAlignment="1">
      <alignment vertical="center"/>
    </xf>
    <xf numFmtId="0" fontId="5" fillId="4" borderId="53" xfId="0" applyFont="1" applyFill="1" applyBorder="1" applyAlignment="1">
      <alignment vertical="center"/>
    </xf>
    <xf numFmtId="0" fontId="5" fillId="4" borderId="49" xfId="0" applyFont="1" applyFill="1" applyBorder="1" applyAlignment="1">
      <alignment vertical="center"/>
    </xf>
    <xf numFmtId="0" fontId="5" fillId="4" borderId="55" xfId="0" applyFont="1" applyFill="1" applyBorder="1" applyAlignment="1">
      <alignment vertical="center"/>
    </xf>
    <xf numFmtId="0" fontId="5" fillId="4" borderId="74" xfId="0" applyFont="1" applyFill="1" applyBorder="1" applyAlignment="1"/>
    <xf numFmtId="0" fontId="5" fillId="4" borderId="73" xfId="0" applyFont="1" applyFill="1" applyBorder="1" applyAlignment="1"/>
    <xf numFmtId="0" fontId="5" fillId="4" borderId="4" xfId="0" applyFont="1" applyFill="1" applyBorder="1" applyAlignment="1"/>
    <xf numFmtId="0" fontId="5" fillId="4" borderId="53" xfId="0" applyFont="1" applyFill="1" applyBorder="1" applyAlignment="1"/>
    <xf numFmtId="0" fontId="5" fillId="4" borderId="75" xfId="0" applyFont="1" applyFill="1" applyBorder="1" applyAlignment="1"/>
    <xf numFmtId="0" fontId="5" fillId="4" borderId="71" xfId="0" applyFont="1" applyFill="1" applyBorder="1" applyAlignment="1"/>
    <xf numFmtId="0" fontId="5" fillId="4" borderId="61" xfId="0" applyFont="1" applyFill="1" applyBorder="1" applyAlignment="1"/>
    <xf numFmtId="0" fontId="5" fillId="4" borderId="63" xfId="0" applyFont="1" applyFill="1" applyBorder="1" applyAlignment="1"/>
    <xf numFmtId="0" fontId="5" fillId="4" borderId="74" xfId="0" applyFont="1" applyFill="1" applyBorder="1" applyAlignment="1">
      <alignment horizontal="center"/>
    </xf>
    <xf numFmtId="0" fontId="5" fillId="4" borderId="73" xfId="0" applyFont="1" applyFill="1" applyBorder="1" applyAlignment="1">
      <alignment horizontal="center"/>
    </xf>
    <xf numFmtId="0" fontId="5" fillId="4" borderId="4" xfId="0" applyFont="1" applyFill="1" applyBorder="1" applyAlignment="1">
      <alignment horizontal="center"/>
    </xf>
    <xf numFmtId="0" fontId="5" fillId="4" borderId="53" xfId="0" applyFont="1" applyFill="1" applyBorder="1" applyAlignment="1">
      <alignment horizontal="center"/>
    </xf>
    <xf numFmtId="0" fontId="0" fillId="4" borderId="49" xfId="0" applyFont="1" applyFill="1" applyBorder="1" applyAlignment="1">
      <alignment horizontal="center"/>
    </xf>
    <xf numFmtId="0" fontId="5" fillId="4" borderId="55" xfId="0" applyFont="1" applyFill="1" applyBorder="1" applyAlignment="1">
      <alignment horizontal="center"/>
    </xf>
    <xf numFmtId="0" fontId="5" fillId="4" borderId="75" xfId="0" applyFont="1" applyFill="1" applyBorder="1" applyAlignment="1">
      <alignment horizontal="center"/>
    </xf>
    <xf numFmtId="0" fontId="5" fillId="4" borderId="71" xfId="0" applyFont="1" applyFill="1" applyBorder="1" applyAlignment="1">
      <alignment horizontal="center"/>
    </xf>
    <xf numFmtId="0" fontId="5" fillId="4" borderId="46" xfId="0" applyFont="1" applyFill="1" applyBorder="1" applyAlignment="1">
      <alignment horizontal="center"/>
    </xf>
    <xf numFmtId="0" fontId="5" fillId="4" borderId="49" xfId="0" applyFont="1" applyFill="1" applyBorder="1" applyAlignment="1">
      <alignment horizontal="center"/>
    </xf>
    <xf numFmtId="0" fontId="5" fillId="4" borderId="59" xfId="0" applyFont="1" applyFill="1" applyBorder="1" applyAlignment="1">
      <alignment horizontal="center"/>
    </xf>
    <xf numFmtId="0" fontId="5" fillId="4" borderId="60" xfId="0" applyFont="1" applyFill="1" applyBorder="1" applyAlignment="1">
      <alignment horizontal="center"/>
    </xf>
    <xf numFmtId="0" fontId="5" fillId="4" borderId="62" xfId="0" applyFont="1" applyFill="1" applyBorder="1" applyAlignment="1">
      <alignment horizontal="center"/>
    </xf>
    <xf numFmtId="0" fontId="5" fillId="4" borderId="63" xfId="0" applyFont="1" applyFill="1" applyBorder="1" applyAlignment="1">
      <alignment horizontal="center"/>
    </xf>
    <xf numFmtId="0" fontId="0" fillId="4" borderId="62" xfId="0" applyFont="1" applyFill="1" applyBorder="1" applyAlignment="1">
      <alignment horizontal="center"/>
    </xf>
    <xf numFmtId="0" fontId="5" fillId="4" borderId="57" xfId="0" applyFont="1" applyFill="1" applyBorder="1" applyAlignment="1">
      <alignment horizontal="center"/>
    </xf>
    <xf numFmtId="0" fontId="5" fillId="4" borderId="56" xfId="0" applyFont="1" applyFill="1" applyBorder="1" applyAlignment="1">
      <alignment horizontal="center"/>
    </xf>
    <xf numFmtId="0" fontId="0" fillId="4" borderId="72" xfId="0" quotePrefix="1" applyFont="1" applyFill="1" applyBorder="1" applyAlignment="1">
      <alignment horizontal="center"/>
    </xf>
    <xf numFmtId="0" fontId="5" fillId="4" borderId="72" xfId="0" applyFont="1" applyFill="1" applyBorder="1" applyAlignment="1">
      <alignment horizontal="center"/>
    </xf>
    <xf numFmtId="0" fontId="5" fillId="4" borderId="70" xfId="0" applyFont="1" applyFill="1" applyBorder="1" applyAlignment="1">
      <alignment horizontal="center"/>
    </xf>
    <xf numFmtId="0" fontId="8" fillId="0" borderId="74" xfId="2" applyFont="1" applyBorder="1" applyAlignment="1">
      <alignment horizontal="center"/>
    </xf>
    <xf numFmtId="0" fontId="8" fillId="0" borderId="75" xfId="2" applyFont="1" applyBorder="1" applyAlignment="1">
      <alignment horizontal="center"/>
    </xf>
    <xf numFmtId="0" fontId="5" fillId="4" borderId="54" xfId="0" applyFont="1" applyFill="1" applyBorder="1" applyAlignment="1">
      <alignment horizontal="center"/>
    </xf>
    <xf numFmtId="0" fontId="21" fillId="0" borderId="0" xfId="0" applyFont="1" applyAlignment="1">
      <alignment horizontal="right"/>
    </xf>
    <xf numFmtId="0" fontId="21" fillId="0" borderId="0" xfId="0" applyFont="1"/>
    <xf numFmtId="0" fontId="0" fillId="0" borderId="0" xfId="0" applyFont="1" applyBorder="1" applyAlignment="1">
      <alignment vertical="center" wrapText="1"/>
    </xf>
    <xf numFmtId="0" fontId="10" fillId="0" borderId="0" xfId="0" applyFont="1" applyBorder="1" applyAlignment="1">
      <alignment vertical="center" wrapText="1"/>
    </xf>
    <xf numFmtId="0" fontId="5" fillId="0" borderId="41" xfId="0" applyFont="1" applyBorder="1" applyAlignment="1">
      <alignment horizontal="center"/>
    </xf>
    <xf numFmtId="0" fontId="9" fillId="0" borderId="29" xfId="0" quotePrefix="1" applyFont="1" applyBorder="1" applyAlignment="1">
      <alignment horizontal="center"/>
    </xf>
    <xf numFmtId="0" fontId="9" fillId="0" borderId="18" xfId="0" applyFont="1" applyBorder="1" applyAlignment="1">
      <alignment horizontal="center"/>
    </xf>
    <xf numFmtId="0" fontId="5" fillId="0" borderId="51" xfId="0" applyFont="1" applyBorder="1" applyAlignment="1">
      <alignment horizontal="center"/>
    </xf>
    <xf numFmtId="0" fontId="0" fillId="0" borderId="76" xfId="0" applyFont="1" applyBorder="1" applyAlignment="1">
      <alignment vertical="center" wrapText="1"/>
    </xf>
    <xf numFmtId="0" fontId="0" fillId="0" borderId="77" xfId="0" applyFont="1" applyBorder="1" applyAlignment="1">
      <alignment vertical="center" wrapText="1"/>
    </xf>
    <xf numFmtId="0" fontId="5" fillId="4" borderId="58" xfId="0" applyFont="1" applyFill="1" applyBorder="1" applyAlignment="1">
      <alignment horizontal="center"/>
    </xf>
    <xf numFmtId="0" fontId="10" fillId="0" borderId="52" xfId="0" applyFont="1" applyBorder="1" applyAlignment="1">
      <alignment vertical="center"/>
    </xf>
    <xf numFmtId="0" fontId="5" fillId="0" borderId="66" xfId="0" applyFont="1" applyFill="1" applyBorder="1" applyAlignment="1">
      <alignment horizontal="center"/>
    </xf>
    <xf numFmtId="0" fontId="5" fillId="3" borderId="78" xfId="0" applyFont="1" applyFill="1" applyBorder="1" applyAlignment="1" applyProtection="1">
      <alignment horizontal="center"/>
      <protection locked="0"/>
    </xf>
    <xf numFmtId="0" fontId="9" fillId="0" borderId="18" xfId="0" quotePrefix="1" applyFont="1" applyBorder="1" applyAlignment="1">
      <alignment horizontal="center"/>
    </xf>
    <xf numFmtId="0" fontId="10" fillId="0" borderId="37" xfId="0" applyFont="1" applyBorder="1" applyAlignment="1">
      <alignment vertical="center"/>
    </xf>
    <xf numFmtId="0" fontId="0" fillId="0" borderId="62" xfId="0" applyBorder="1"/>
    <xf numFmtId="0" fontId="0" fillId="0" borderId="46" xfId="0" applyFont="1" applyBorder="1" applyAlignment="1">
      <alignment vertical="center" wrapText="1"/>
    </xf>
    <xf numFmtId="0" fontId="9" fillId="0" borderId="30" xfId="0" applyFont="1" applyBorder="1" applyAlignment="1">
      <alignment horizontal="center" wrapText="1"/>
    </xf>
    <xf numFmtId="0" fontId="15" fillId="0" borderId="0" xfId="2" applyFont="1" applyFill="1" applyBorder="1" applyAlignment="1">
      <alignment horizontal="center"/>
    </xf>
    <xf numFmtId="0" fontId="6" fillId="0" borderId="0" xfId="0" applyFont="1" applyFill="1" applyBorder="1" applyAlignment="1">
      <alignment horizontal="right"/>
    </xf>
    <xf numFmtId="0" fontId="0" fillId="0" borderId="0" xfId="0" quotePrefix="1" applyFill="1" applyBorder="1"/>
    <xf numFmtId="0" fontId="0" fillId="4" borderId="4" xfId="0" applyFill="1" applyBorder="1"/>
    <xf numFmtId="0" fontId="0" fillId="4" borderId="53" xfId="0" applyFill="1" applyBorder="1"/>
    <xf numFmtId="0" fontId="0" fillId="0" borderId="27" xfId="0" applyFont="1" applyBorder="1" applyAlignment="1">
      <alignment vertical="center" wrapText="1"/>
    </xf>
    <xf numFmtId="0" fontId="5" fillId="4" borderId="41" xfId="0" applyFont="1" applyFill="1" applyBorder="1" applyAlignment="1">
      <alignment horizontal="center"/>
    </xf>
    <xf numFmtId="0" fontId="5" fillId="4" borderId="45" xfId="0" applyFont="1" applyFill="1" applyBorder="1" applyAlignment="1">
      <alignment horizontal="center"/>
    </xf>
    <xf numFmtId="0" fontId="0" fillId="0" borderId="70" xfId="0" applyBorder="1"/>
    <xf numFmtId="0" fontId="5" fillId="0" borderId="75" xfId="0" applyFont="1" applyBorder="1" applyAlignment="1">
      <alignment horizontal="center"/>
    </xf>
    <xf numFmtId="0" fontId="5" fillId="3" borderId="71" xfId="0" applyFont="1" applyFill="1" applyBorder="1" applyAlignment="1" applyProtection="1">
      <alignment horizontal="center"/>
      <protection locked="0"/>
    </xf>
    <xf numFmtId="0" fontId="0" fillId="0" borderId="27" xfId="0" applyFont="1" applyBorder="1" applyAlignment="1">
      <alignment horizontal="center" vertical="center" wrapText="1"/>
    </xf>
    <xf numFmtId="0" fontId="0" fillId="0" borderId="59" xfId="0" applyBorder="1" applyAlignment="1">
      <alignment horizontal="left"/>
    </xf>
    <xf numFmtId="0" fontId="9" fillId="0" borderId="59" xfId="0" applyFont="1" applyBorder="1" applyAlignment="1">
      <alignment horizontal="center" wrapText="1"/>
    </xf>
    <xf numFmtId="0" fontId="0" fillId="0" borderId="58" xfId="0" applyBorder="1" applyAlignment="1">
      <alignment horizontal="center"/>
    </xf>
    <xf numFmtId="0" fontId="0" fillId="0" borderId="60" xfId="0" applyBorder="1" applyAlignment="1">
      <alignment horizontal="center"/>
    </xf>
    <xf numFmtId="0" fontId="9" fillId="0" borderId="72" xfId="0" applyFont="1" applyBorder="1" applyAlignment="1">
      <alignment horizontal="center" wrapText="1"/>
    </xf>
    <xf numFmtId="0" fontId="0" fillId="0" borderId="66" xfId="0" applyBorder="1" applyAlignment="1">
      <alignment horizontal="center"/>
    </xf>
    <xf numFmtId="0" fontId="0" fillId="0" borderId="78" xfId="0" applyBorder="1" applyAlignment="1">
      <alignment horizontal="center"/>
    </xf>
    <xf numFmtId="0" fontId="0" fillId="0" borderId="44" xfId="0" applyFill="1" applyBorder="1" applyAlignment="1">
      <alignment horizontal="center"/>
    </xf>
    <xf numFmtId="0" fontId="0" fillId="0" borderId="75" xfId="0" applyBorder="1"/>
    <xf numFmtId="0" fontId="0" fillId="3" borderId="71" xfId="0" applyFill="1" applyBorder="1" applyProtection="1">
      <protection locked="0"/>
    </xf>
    <xf numFmtId="0" fontId="0" fillId="0" borderId="61" xfId="0" applyBorder="1"/>
    <xf numFmtId="0" fontId="0" fillId="3" borderId="63" xfId="0" applyFill="1" applyBorder="1" applyProtection="1">
      <protection locked="0"/>
    </xf>
    <xf numFmtId="0" fontId="0" fillId="4" borderId="64" xfId="0" applyFill="1" applyBorder="1"/>
    <xf numFmtId="0" fontId="0" fillId="4" borderId="56" xfId="0" applyFill="1" applyBorder="1"/>
    <xf numFmtId="0" fontId="0" fillId="0" borderId="64" xfId="0" applyBorder="1"/>
    <xf numFmtId="0" fontId="0" fillId="3" borderId="56" xfId="0" applyFill="1" applyBorder="1" applyProtection="1">
      <protection locked="0"/>
    </xf>
    <xf numFmtId="0" fontId="0" fillId="0" borderId="58" xfId="0" applyBorder="1"/>
    <xf numFmtId="0" fontId="0" fillId="3" borderId="60" xfId="0" applyFill="1" applyBorder="1" applyProtection="1">
      <protection locked="0"/>
    </xf>
    <xf numFmtId="0" fontId="0" fillId="0" borderId="72" xfId="0" applyBorder="1"/>
    <xf numFmtId="0" fontId="0" fillId="0" borderId="74" xfId="0" applyBorder="1"/>
    <xf numFmtId="0" fontId="0" fillId="3" borderId="73" xfId="0" applyFill="1" applyBorder="1" applyProtection="1">
      <protection locked="0"/>
    </xf>
    <xf numFmtId="0" fontId="9" fillId="0" borderId="62" xfId="0" applyFont="1" applyBorder="1" applyAlignment="1">
      <alignment horizontal="center" wrapText="1"/>
    </xf>
    <xf numFmtId="0" fontId="0" fillId="0" borderId="61" xfId="0" applyBorder="1" applyAlignment="1">
      <alignment horizontal="center"/>
    </xf>
    <xf numFmtId="0" fontId="0" fillId="0" borderId="63" xfId="0" applyBorder="1" applyAlignment="1">
      <alignment horizontal="center"/>
    </xf>
    <xf numFmtId="0" fontId="0" fillId="0" borderId="43" xfId="0" applyFill="1" applyBorder="1" applyAlignment="1">
      <alignment horizontal="center" wrapText="1"/>
    </xf>
    <xf numFmtId="0" fontId="0" fillId="4" borderId="46" xfId="0" applyFill="1" applyBorder="1"/>
    <xf numFmtId="0" fontId="0" fillId="4" borderId="54" xfId="0" applyFill="1" applyBorder="1"/>
    <xf numFmtId="0" fontId="20" fillId="0" borderId="0" xfId="0" applyFont="1" applyAlignment="1">
      <alignment horizontal="right" vertical="center"/>
    </xf>
    <xf numFmtId="0" fontId="20" fillId="0" borderId="0" xfId="0" applyFont="1" applyAlignment="1">
      <alignment vertical="center"/>
    </xf>
    <xf numFmtId="0" fontId="0" fillId="0" borderId="0" xfId="0" applyAlignment="1">
      <alignment vertical="center"/>
    </xf>
    <xf numFmtId="0" fontId="20" fillId="0" borderId="0" xfId="0" applyFont="1" applyBorder="1" applyAlignment="1">
      <alignment horizontal="right" vertical="center"/>
    </xf>
    <xf numFmtId="0" fontId="20" fillId="0" borderId="0" xfId="0" applyFont="1" applyBorder="1" applyAlignment="1">
      <alignment vertical="center"/>
    </xf>
    <xf numFmtId="0" fontId="0" fillId="0" borderId="44" xfId="0" applyFill="1" applyBorder="1" applyAlignment="1">
      <alignment horizontal="center" wrapText="1"/>
    </xf>
    <xf numFmtId="0" fontId="9" fillId="0" borderId="51" xfId="0" applyFont="1" applyBorder="1"/>
    <xf numFmtId="0" fontId="9" fillId="0" borderId="52" xfId="0" applyFont="1" applyBorder="1" applyAlignment="1">
      <alignment horizontal="left"/>
    </xf>
    <xf numFmtId="0" fontId="26" fillId="0" borderId="16" xfId="2" applyFont="1" applyBorder="1"/>
    <xf numFmtId="0" fontId="0" fillId="0" borderId="0" xfId="0" applyProtection="1"/>
    <xf numFmtId="0" fontId="11" fillId="0" borderId="0" xfId="0" applyFont="1" applyBorder="1" applyAlignment="1" applyProtection="1">
      <alignment horizontal="center"/>
    </xf>
    <xf numFmtId="0" fontId="6"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top"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0" fillId="0" borderId="0" xfId="0" applyBorder="1" applyProtection="1"/>
    <xf numFmtId="0" fontId="2" fillId="0" borderId="0" xfId="2" applyFont="1" applyFill="1" applyBorder="1" applyAlignment="1" applyProtection="1">
      <alignment vertical="center"/>
    </xf>
    <xf numFmtId="0" fontId="7" fillId="0" borderId="0" xfId="0" applyFont="1" applyFill="1" applyBorder="1" applyAlignment="1" applyProtection="1">
      <alignment vertical="top" wrapText="1"/>
    </xf>
    <xf numFmtId="0" fontId="7" fillId="0" borderId="0" xfId="0" applyFont="1" applyFill="1" applyBorder="1" applyAlignment="1" applyProtection="1"/>
    <xf numFmtId="0" fontId="0" fillId="0" borderId="0" xfId="0" applyFill="1" applyBorder="1" applyAlignment="1" applyProtection="1"/>
    <xf numFmtId="0" fontId="23" fillId="0" borderId="0" xfId="0" applyFont="1" applyBorder="1" applyAlignment="1" applyProtection="1">
      <alignment vertical="top" wrapText="1"/>
    </xf>
    <xf numFmtId="0" fontId="11" fillId="0" borderId="0" xfId="0" applyFont="1" applyFill="1" applyBorder="1" applyAlignment="1" applyProtection="1">
      <alignment horizontal="center"/>
    </xf>
    <xf numFmtId="0" fontId="6" fillId="0" borderId="0" xfId="0" applyFont="1" applyFill="1" applyBorder="1" applyAlignment="1" applyProtection="1">
      <alignment horizontal="center" vertical="center" textRotation="51" wrapText="1"/>
    </xf>
    <xf numFmtId="0" fontId="5" fillId="0" borderId="44" xfId="0" applyFont="1" applyFill="1" applyBorder="1" applyAlignment="1" applyProtection="1">
      <alignment horizontal="center"/>
    </xf>
    <xf numFmtId="0" fontId="7" fillId="0" borderId="44" xfId="0" applyFont="1" applyFill="1" applyBorder="1" applyAlignment="1" applyProtection="1">
      <alignment horizontal="center" vertical="top" wrapText="1"/>
    </xf>
    <xf numFmtId="0" fontId="0" fillId="0" borderId="44" xfId="0" applyFill="1" applyBorder="1" applyAlignment="1" applyProtection="1">
      <alignment horizontal="center"/>
    </xf>
    <xf numFmtId="0" fontId="0" fillId="0" borderId="0" xfId="0" applyFill="1" applyBorder="1" applyProtection="1"/>
    <xf numFmtId="0" fontId="0" fillId="0" borderId="0" xfId="0" applyFill="1" applyBorder="1" applyAlignment="1" applyProtection="1">
      <alignment horizontal="center" wrapText="1"/>
    </xf>
    <xf numFmtId="0" fontId="0" fillId="0" borderId="44" xfId="0" applyFill="1" applyBorder="1" applyProtection="1"/>
    <xf numFmtId="0" fontId="0" fillId="0" borderId="43" xfId="0" applyBorder="1" applyAlignment="1"/>
    <xf numFmtId="0" fontId="11" fillId="0" borderId="44" xfId="0" applyFont="1" applyBorder="1" applyAlignment="1">
      <alignment horizontal="center" vertical="center" wrapText="1"/>
    </xf>
    <xf numFmtId="0" fontId="0" fillId="0" borderId="44" xfId="0" applyBorder="1" applyAlignment="1">
      <alignment horizontal="center"/>
    </xf>
    <xf numFmtId="0" fontId="1" fillId="0" borderId="0" xfId="2" applyFont="1"/>
    <xf numFmtId="0" fontId="3" fillId="0" borderId="0" xfId="2" applyFont="1" applyAlignment="1">
      <alignment horizontal="left" vertical="top" wrapText="1"/>
    </xf>
    <xf numFmtId="0" fontId="3" fillId="0" borderId="0" xfId="2" applyAlignment="1">
      <alignment horizontal="left" vertical="top" wrapText="1"/>
    </xf>
    <xf numFmtId="0" fontId="4" fillId="0" borderId="0" xfId="2" applyFont="1" applyAlignment="1">
      <alignment horizontal="left" vertical="top" wrapText="1"/>
    </xf>
    <xf numFmtId="0" fontId="1" fillId="0" borderId="0" xfId="2" applyFont="1" applyAlignment="1">
      <alignment horizontal="left" vertical="top" wrapText="1"/>
    </xf>
    <xf numFmtId="0" fontId="15" fillId="0" borderId="16" xfId="2" applyFont="1" applyBorder="1" applyAlignment="1">
      <alignment horizontal="center"/>
    </xf>
    <xf numFmtId="0" fontId="0" fillId="0" borderId="4" xfId="0" applyBorder="1" applyAlignment="1">
      <alignment horizontal="center" vertical="center" wrapText="1"/>
    </xf>
    <xf numFmtId="0" fontId="0" fillId="0" borderId="0" xfId="0" applyBorder="1" applyAlignment="1">
      <alignment horizontal="center" vertical="center"/>
    </xf>
    <xf numFmtId="0" fontId="0" fillId="0" borderId="5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11" fillId="0" borderId="29" xfId="0" applyFont="1" applyBorder="1" applyAlignment="1">
      <alignment horizontal="center"/>
    </xf>
    <xf numFmtId="0" fontId="11" fillId="0" borderId="30" xfId="0" applyFont="1" applyBorder="1" applyAlignment="1">
      <alignment horizontal="center"/>
    </xf>
    <xf numFmtId="0" fontId="11" fillId="0" borderId="18" xfId="0" applyFont="1" applyBorder="1" applyAlignment="1">
      <alignment horizontal="center"/>
    </xf>
    <xf numFmtId="0" fontId="6" fillId="0" borderId="0" xfId="0" applyFont="1" applyBorder="1" applyAlignment="1">
      <alignment horizontal="center" vertical="center" wrapText="1"/>
    </xf>
    <xf numFmtId="0" fontId="6" fillId="0" borderId="53" xfId="0" applyFont="1" applyBorder="1" applyAlignment="1">
      <alignment horizontal="center" vertical="center" wrapText="1"/>
    </xf>
    <xf numFmtId="0" fontId="6" fillId="0" borderId="1" xfId="0" applyFont="1" applyBorder="1" applyAlignment="1">
      <alignment horizontal="center" wrapText="1"/>
    </xf>
    <xf numFmtId="0" fontId="6" fillId="0" borderId="49" xfId="0" applyFont="1" applyBorder="1" applyAlignment="1">
      <alignment horizontal="center"/>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2" fillId="0" borderId="2" xfId="2" applyFont="1" applyBorder="1" applyAlignment="1">
      <alignment horizontal="center" vertical="center"/>
    </xf>
    <xf numFmtId="0" fontId="2" fillId="0" borderId="36" xfId="2" applyFont="1" applyBorder="1" applyAlignment="1">
      <alignment horizontal="center" vertical="center"/>
    </xf>
    <xf numFmtId="0" fontId="2" fillId="0" borderId="37" xfId="2" applyFont="1" applyBorder="1" applyAlignment="1">
      <alignment horizontal="center" vertical="center"/>
    </xf>
    <xf numFmtId="0" fontId="2" fillId="0" borderId="39" xfId="2" applyFont="1" applyBorder="1" applyAlignment="1">
      <alignment horizontal="center" vertical="center"/>
    </xf>
    <xf numFmtId="0" fontId="6" fillId="0" borderId="41" xfId="0" applyFont="1" applyBorder="1" applyAlignment="1">
      <alignment horizontal="center"/>
    </xf>
    <xf numFmtId="0" fontId="6" fillId="0" borderId="27" xfId="0" applyFont="1" applyBorder="1" applyAlignment="1">
      <alignment horizontal="center"/>
    </xf>
    <xf numFmtId="0" fontId="6" fillId="3" borderId="29" xfId="0" applyFont="1" applyFill="1" applyBorder="1" applyAlignment="1">
      <alignment horizontal="center"/>
    </xf>
    <xf numFmtId="0" fontId="6" fillId="3" borderId="30" xfId="0" applyFont="1" applyFill="1" applyBorder="1" applyAlignment="1">
      <alignment horizontal="center"/>
    </xf>
    <xf numFmtId="0" fontId="6" fillId="3" borderId="18" xfId="0" applyFont="1" applyFill="1" applyBorder="1" applyAlignment="1">
      <alignment horizontal="center"/>
    </xf>
    <xf numFmtId="0" fontId="0" fillId="0" borderId="7" xfId="0" applyBorder="1" applyAlignment="1">
      <alignment horizontal="center" wrapText="1"/>
    </xf>
    <xf numFmtId="0" fontId="0" fillId="0" borderId="8" xfId="0" applyBorder="1" applyAlignment="1">
      <alignment horizontal="center" wrapText="1"/>
    </xf>
    <xf numFmtId="0" fontId="0" fillId="3" borderId="13" xfId="0" applyFill="1" applyBorder="1" applyAlignment="1" applyProtection="1">
      <alignment horizontal="center"/>
      <protection locked="0"/>
    </xf>
    <xf numFmtId="0" fontId="0" fillId="3" borderId="14" xfId="0" applyFill="1" applyBorder="1" applyAlignment="1" applyProtection="1">
      <alignment horizontal="center"/>
      <protection locked="0"/>
    </xf>
    <xf numFmtId="0" fontId="0" fillId="0" borderId="14" xfId="0" applyBorder="1" applyAlignment="1">
      <alignment horizontal="center"/>
    </xf>
    <xf numFmtId="0" fontId="0" fillId="0" borderId="15" xfId="0" applyBorder="1" applyAlignment="1">
      <alignment horizontal="center"/>
    </xf>
    <xf numFmtId="0" fontId="8" fillId="0" borderId="58" xfId="2" applyFont="1" applyBorder="1" applyAlignment="1">
      <alignment horizontal="right"/>
    </xf>
    <xf numFmtId="0" fontId="8" fillId="0" borderId="59" xfId="2" applyFont="1" applyBorder="1" applyAlignment="1">
      <alignment horizontal="right"/>
    </xf>
    <xf numFmtId="0" fontId="8" fillId="0" borderId="64" xfId="2" applyFont="1" applyBorder="1" applyAlignment="1">
      <alignment horizontal="right" wrapText="1"/>
    </xf>
    <xf numFmtId="0" fontId="8" fillId="0" borderId="57" xfId="2" applyFont="1" applyBorder="1" applyAlignment="1">
      <alignment horizontal="right"/>
    </xf>
    <xf numFmtId="0" fontId="0" fillId="0" borderId="40" xfId="0" applyBorder="1" applyAlignment="1">
      <alignment horizontal="right" wrapText="1"/>
    </xf>
    <xf numFmtId="0" fontId="0" fillId="0" borderId="42" xfId="0" applyBorder="1" applyAlignment="1">
      <alignment horizontal="right" wrapText="1"/>
    </xf>
    <xf numFmtId="0" fontId="7" fillId="0" borderId="8" xfId="0" applyFont="1" applyBorder="1" applyAlignment="1">
      <alignment horizontal="center" vertical="top" wrapText="1"/>
    </xf>
    <xf numFmtId="0" fontId="0" fillId="0" borderId="9" xfId="0" applyBorder="1" applyAlignment="1">
      <alignment horizontal="center" wrapText="1"/>
    </xf>
    <xf numFmtId="0" fontId="24" fillId="0" borderId="29" xfId="0" applyFont="1" applyBorder="1" applyAlignment="1">
      <alignment horizontal="center"/>
    </xf>
    <xf numFmtId="0" fontId="24" fillId="0" borderId="30" xfId="0" applyFont="1" applyBorder="1" applyAlignment="1">
      <alignment horizontal="center"/>
    </xf>
    <xf numFmtId="0" fontId="24" fillId="0" borderId="18" xfId="0" applyFont="1"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0" fontId="0" fillId="0" borderId="18" xfId="0" applyBorder="1" applyAlignment="1">
      <alignment horizontal="center"/>
    </xf>
    <xf numFmtId="0" fontId="0" fillId="0" borderId="1" xfId="0" applyBorder="1" applyAlignment="1">
      <alignment horizontal="center"/>
    </xf>
    <xf numFmtId="0" fontId="0" fillId="0" borderId="3" xfId="0" applyBorder="1" applyAlignment="1">
      <alignment horizontal="center"/>
    </xf>
    <xf numFmtId="0" fontId="11" fillId="0" borderId="1" xfId="0" applyFont="1" applyBorder="1" applyAlignment="1">
      <alignment horizontal="center" vertical="center" wrapText="1"/>
    </xf>
    <xf numFmtId="0" fontId="11" fillId="0" borderId="3" xfId="0" applyFont="1" applyBorder="1" applyAlignment="1">
      <alignment horizontal="center" vertical="center" wrapText="1"/>
    </xf>
    <xf numFmtId="0" fontId="0" fillId="0" borderId="62" xfId="0" applyFont="1" applyBorder="1" applyAlignment="1">
      <alignment horizontal="center" vertical="center" wrapText="1"/>
    </xf>
    <xf numFmtId="0" fontId="0" fillId="0" borderId="72" xfId="0" applyFont="1" applyBorder="1" applyAlignment="1">
      <alignment horizontal="center" vertical="center" wrapText="1"/>
    </xf>
    <xf numFmtId="0" fontId="17" fillId="0" borderId="62" xfId="0" applyFont="1" applyBorder="1" applyAlignment="1">
      <alignment horizontal="center" vertical="center" wrapText="1"/>
    </xf>
    <xf numFmtId="0" fontId="0" fillId="0" borderId="47" xfId="0" applyFont="1" applyBorder="1" applyAlignment="1">
      <alignment horizontal="center" vertical="center" wrapText="1"/>
    </xf>
    <xf numFmtId="0" fontId="0" fillId="0" borderId="69" xfId="0" applyFont="1" applyBorder="1" applyAlignment="1">
      <alignment horizontal="center" vertical="center" wrapText="1"/>
    </xf>
    <xf numFmtId="0" fontId="0" fillId="0" borderId="50" xfId="0" applyFont="1" applyBorder="1" applyAlignment="1">
      <alignment horizontal="center" vertical="center" wrapText="1"/>
    </xf>
    <xf numFmtId="0" fontId="0" fillId="0" borderId="58" xfId="0" applyBorder="1" applyAlignment="1">
      <alignment horizontal="center" vertical="center"/>
    </xf>
    <xf numFmtId="0" fontId="0" fillId="0" borderId="64" xfId="0" applyBorder="1" applyAlignment="1">
      <alignment horizontal="center" vertical="center"/>
    </xf>
    <xf numFmtId="0" fontId="0" fillId="0" borderId="58" xfId="0" applyFont="1" applyBorder="1" applyAlignment="1">
      <alignment horizontal="center" vertical="center" wrapText="1"/>
    </xf>
    <xf numFmtId="0" fontId="0" fillId="0" borderId="61" xfId="0" applyFont="1" applyBorder="1" applyAlignment="1">
      <alignment horizontal="center" vertical="center" wrapText="1"/>
    </xf>
    <xf numFmtId="0" fontId="0" fillId="0" borderId="64" xfId="0" applyFont="1" applyBorder="1" applyAlignment="1">
      <alignment horizontal="center" vertical="center" wrapText="1"/>
    </xf>
    <xf numFmtId="0" fontId="24" fillId="0" borderId="29" xfId="0" applyFont="1" applyBorder="1" applyAlignment="1">
      <alignment horizontal="center" vertical="center"/>
    </xf>
    <xf numFmtId="0" fontId="24" fillId="0" borderId="30" xfId="0" applyFont="1" applyBorder="1" applyAlignment="1">
      <alignment horizontal="center" vertical="center"/>
    </xf>
    <xf numFmtId="0" fontId="24" fillId="0" borderId="18" xfId="0" applyFont="1" applyBorder="1" applyAlignment="1">
      <alignment horizontal="center" vertical="center"/>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15" fillId="0" borderId="24" xfId="2" applyFont="1" applyBorder="1" applyAlignment="1">
      <alignment horizontal="center"/>
    </xf>
    <xf numFmtId="0" fontId="15" fillId="0" borderId="25" xfId="2" applyFont="1" applyBorder="1" applyAlignment="1">
      <alignment horizontal="center"/>
    </xf>
    <xf numFmtId="0" fontId="15" fillId="0" borderId="31" xfId="2" applyFont="1" applyBorder="1" applyAlignment="1">
      <alignment horizontal="center"/>
    </xf>
    <xf numFmtId="0" fontId="0" fillId="0" borderId="70" xfId="0" applyFont="1" applyBorder="1" applyAlignment="1">
      <alignment horizontal="center" vertical="center" wrapText="1"/>
    </xf>
    <xf numFmtId="0" fontId="0" fillId="0" borderId="57" xfId="0" applyFont="1" applyBorder="1" applyAlignment="1">
      <alignment horizontal="center" vertical="center" wrapText="1"/>
    </xf>
    <xf numFmtId="0" fontId="0" fillId="0" borderId="59" xfId="0" applyFont="1" applyBorder="1" applyAlignment="1">
      <alignment horizontal="center" vertical="center" wrapText="1"/>
    </xf>
    <xf numFmtId="0" fontId="0" fillId="0" borderId="59" xfId="0" applyBorder="1" applyAlignment="1">
      <alignment horizontal="center" vertical="center"/>
    </xf>
    <xf numFmtId="0" fontId="0" fillId="0" borderId="72" xfId="0" applyBorder="1" applyAlignment="1">
      <alignment horizontal="center" vertical="center"/>
    </xf>
    <xf numFmtId="0" fontId="0" fillId="0" borderId="70" xfId="0" applyBorder="1" applyAlignment="1">
      <alignment horizontal="center" vertical="center"/>
    </xf>
    <xf numFmtId="0" fontId="0" fillId="0" borderId="57" xfId="0" applyBorder="1" applyAlignment="1">
      <alignment horizontal="center" vertical="center"/>
    </xf>
    <xf numFmtId="0" fontId="0" fillId="0" borderId="1" xfId="0" applyBorder="1" applyAlignment="1">
      <alignment horizontal="center" wrapText="1"/>
    </xf>
    <xf numFmtId="0" fontId="0" fillId="0" borderId="3" xfId="0" applyBorder="1" applyAlignment="1">
      <alignment horizontal="center" wrapText="1"/>
    </xf>
    <xf numFmtId="0" fontId="0" fillId="0" borderId="70" xfId="0" applyBorder="1" applyAlignment="1">
      <alignment horizontal="center" vertical="center" wrapText="1"/>
    </xf>
    <xf numFmtId="0" fontId="0" fillId="0" borderId="62" xfId="0" applyBorder="1" applyAlignment="1">
      <alignment horizontal="center" vertical="center"/>
    </xf>
    <xf numFmtId="0" fontId="0" fillId="0" borderId="59" xfId="0" applyBorder="1" applyAlignment="1">
      <alignment horizontal="center" vertical="center" wrapText="1"/>
    </xf>
    <xf numFmtId="0" fontId="0" fillId="0" borderId="57" xfId="0" applyBorder="1" applyAlignment="1">
      <alignment horizontal="center" vertical="center" wrapText="1"/>
    </xf>
    <xf numFmtId="0" fontId="25" fillId="0" borderId="29" xfId="0" applyFont="1" applyBorder="1" applyAlignment="1">
      <alignment horizontal="center"/>
    </xf>
    <xf numFmtId="0" fontId="25" fillId="0" borderId="30" xfId="0" applyFont="1" applyBorder="1" applyAlignment="1">
      <alignment horizontal="center"/>
    </xf>
    <xf numFmtId="0" fontId="25" fillId="0" borderId="18" xfId="0" applyFont="1" applyBorder="1" applyAlignment="1">
      <alignment horizontal="center"/>
    </xf>
    <xf numFmtId="0" fontId="0" fillId="0" borderId="4" xfId="0" applyBorder="1" applyAlignment="1">
      <alignment horizontal="center" wrapText="1"/>
    </xf>
    <xf numFmtId="0" fontId="0" fillId="0" borderId="53" xfId="0" applyBorder="1" applyAlignment="1">
      <alignment horizontal="center" wrapText="1"/>
    </xf>
    <xf numFmtId="0" fontId="10" fillId="0" borderId="29" xfId="2" applyFont="1" applyBorder="1" applyAlignment="1">
      <alignment horizontal="center"/>
    </xf>
    <xf numFmtId="0" fontId="10" fillId="0" borderId="30" xfId="2" applyFont="1" applyBorder="1" applyAlignment="1">
      <alignment horizontal="center"/>
    </xf>
    <xf numFmtId="0" fontId="10" fillId="0" borderId="18" xfId="2" applyFont="1" applyBorder="1" applyAlignment="1">
      <alignment horizontal="center"/>
    </xf>
    <xf numFmtId="0" fontId="2" fillId="0" borderId="24" xfId="2" applyFont="1" applyBorder="1" applyAlignment="1">
      <alignment horizontal="center"/>
    </xf>
    <xf numFmtId="0" fontId="2" fillId="0" borderId="31" xfId="2" applyFont="1" applyBorder="1" applyAlignment="1">
      <alignment horizontal="center"/>
    </xf>
    <xf numFmtId="0" fontId="3" fillId="0" borderId="23" xfId="2" applyFont="1" applyBorder="1" applyAlignment="1">
      <alignment horizontal="center"/>
    </xf>
    <xf numFmtId="0" fontId="3" fillId="0" borderId="35" xfId="2" applyFont="1" applyBorder="1" applyAlignment="1">
      <alignment horizontal="center"/>
    </xf>
    <xf numFmtId="2" fontId="3" fillId="0" borderId="24" xfId="2" applyNumberFormat="1" applyBorder="1" applyAlignment="1">
      <alignment horizontal="center"/>
    </xf>
    <xf numFmtId="2" fontId="3" fillId="0" borderId="31" xfId="2" applyNumberFormat="1" applyBorder="1" applyAlignment="1">
      <alignment horizontal="center"/>
    </xf>
    <xf numFmtId="0" fontId="10" fillId="0" borderId="4" xfId="2" applyFont="1" applyBorder="1" applyAlignment="1">
      <alignment horizontal="center"/>
    </xf>
    <xf numFmtId="0" fontId="10" fillId="0" borderId="0" xfId="2" applyFont="1" applyBorder="1" applyAlignment="1">
      <alignment horizontal="center"/>
    </xf>
    <xf numFmtId="0" fontId="11" fillId="0" borderId="36" xfId="2" applyFont="1" applyBorder="1" applyAlignment="1">
      <alignment horizontal="center"/>
    </xf>
    <xf numFmtId="0" fontId="11" fillId="0" borderId="37" xfId="2" applyFont="1" applyBorder="1" applyAlignment="1">
      <alignment horizontal="center"/>
    </xf>
    <xf numFmtId="0" fontId="11" fillId="0" borderId="7" xfId="2" applyFont="1" applyBorder="1" applyAlignment="1">
      <alignment horizontal="center"/>
    </xf>
    <xf numFmtId="0" fontId="11" fillId="0" borderId="9" xfId="2" applyFont="1" applyBorder="1" applyAlignment="1">
      <alignment horizontal="center"/>
    </xf>
    <xf numFmtId="0" fontId="11" fillId="0" borderId="19" xfId="2" applyFont="1" applyBorder="1" applyAlignment="1">
      <alignment horizontal="center"/>
    </xf>
    <xf numFmtId="0" fontId="2" fillId="0" borderId="10" xfId="2" applyFont="1" applyFill="1" applyBorder="1" applyAlignment="1">
      <alignment horizontal="center"/>
    </xf>
    <xf numFmtId="0" fontId="2" fillId="0" borderId="12" xfId="2" applyFont="1" applyFill="1" applyBorder="1" applyAlignment="1">
      <alignment horizontal="center"/>
    </xf>
  </cellXfs>
  <cellStyles count="3">
    <cellStyle name="Normal" xfId="0" builtinId="0"/>
    <cellStyle name="Normal 2" xfId="1" xr:uid="{00000000-0005-0000-0000-000001000000}"/>
    <cellStyle name="Normal 2 2"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4</xdr:col>
      <xdr:colOff>523875</xdr:colOff>
      <xdr:row>0</xdr:row>
      <xdr:rowOff>28575</xdr:rowOff>
    </xdr:from>
    <xdr:to>
      <xdr:col>6</xdr:col>
      <xdr:colOff>619125</xdr:colOff>
      <xdr:row>2</xdr:row>
      <xdr:rowOff>282141</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3629025" y="28575"/>
          <a:ext cx="1524000" cy="5774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78439</xdr:colOff>
      <xdr:row>2</xdr:row>
      <xdr:rowOff>212911</xdr:rowOff>
    </xdr:from>
    <xdr:to>
      <xdr:col>25</xdr:col>
      <xdr:colOff>141679</xdr:colOff>
      <xdr:row>5</xdr:row>
      <xdr:rowOff>11205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676027" y="212911"/>
          <a:ext cx="3406595" cy="4258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266700</xdr:colOff>
      <xdr:row>0</xdr:row>
      <xdr:rowOff>95250</xdr:rowOff>
    </xdr:from>
    <xdr:to>
      <xdr:col>14</xdr:col>
      <xdr:colOff>15695</xdr:colOff>
      <xdr:row>1</xdr:row>
      <xdr:rowOff>111499</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5353050" y="95250"/>
          <a:ext cx="3406595" cy="4258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180975</xdr:colOff>
      <xdr:row>0</xdr:row>
      <xdr:rowOff>95250</xdr:rowOff>
    </xdr:from>
    <xdr:to>
      <xdr:col>10</xdr:col>
      <xdr:colOff>539570</xdr:colOff>
      <xdr:row>2</xdr:row>
      <xdr:rowOff>101974</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5267325" y="95250"/>
          <a:ext cx="3406595" cy="4258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57150</xdr:colOff>
      <xdr:row>0</xdr:row>
      <xdr:rowOff>76200</xdr:rowOff>
    </xdr:from>
    <xdr:to>
      <xdr:col>10</xdr:col>
      <xdr:colOff>581024</xdr:colOff>
      <xdr:row>2</xdr:row>
      <xdr:rowOff>36909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4391025" y="76200"/>
          <a:ext cx="2962275" cy="3702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33617</xdr:colOff>
      <xdr:row>4</xdr:row>
      <xdr:rowOff>36288</xdr:rowOff>
    </xdr:from>
    <xdr:to>
      <xdr:col>6</xdr:col>
      <xdr:colOff>467187</xdr:colOff>
      <xdr:row>18</xdr:row>
      <xdr:rowOff>1</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01705" y="753464"/>
          <a:ext cx="5162453" cy="2160066"/>
        </a:xfrm>
        <a:prstGeom prst="rect">
          <a:avLst/>
        </a:prstGeom>
        <a:ln>
          <a:solidFill>
            <a:schemeClr val="tx1"/>
          </a:solidFill>
        </a:ln>
      </xdr:spPr>
    </xdr:pic>
    <xdr:clientData/>
  </xdr:twoCellAnchor>
  <xdr:twoCellAnchor>
    <xdr:from>
      <xdr:col>0</xdr:col>
      <xdr:colOff>152399</xdr:colOff>
      <xdr:row>2</xdr:row>
      <xdr:rowOff>114300</xdr:rowOff>
    </xdr:from>
    <xdr:to>
      <xdr:col>1</xdr:col>
      <xdr:colOff>1323975</xdr:colOff>
      <xdr:row>4</xdr:row>
      <xdr:rowOff>0</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152399" y="438150"/>
          <a:ext cx="1333501" cy="285750"/>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t>STANDARD UNITS</a:t>
          </a:r>
        </a:p>
      </xdr:txBody>
    </xdr:sp>
    <xdr:clientData/>
  </xdr:twoCellAnchor>
  <xdr:twoCellAnchor editAs="oneCell">
    <xdr:from>
      <xdr:col>5</xdr:col>
      <xdr:colOff>38100</xdr:colOff>
      <xdr:row>0</xdr:row>
      <xdr:rowOff>0</xdr:rowOff>
    </xdr:from>
    <xdr:to>
      <xdr:col>7</xdr:col>
      <xdr:colOff>133350</xdr:colOff>
      <xdr:row>3</xdr:row>
      <xdr:rowOff>82116</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stretch>
          <a:fillRect/>
        </a:stretch>
      </xdr:blipFill>
      <xdr:spPr>
        <a:xfrm>
          <a:off x="3857625" y="0"/>
          <a:ext cx="1524000" cy="5774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2</xdr:row>
      <xdr:rowOff>114299</xdr:rowOff>
    </xdr:from>
    <xdr:to>
      <xdr:col>1</xdr:col>
      <xdr:colOff>1152525</xdr:colOff>
      <xdr:row>4</xdr:row>
      <xdr:rowOff>19050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71450" y="438149"/>
          <a:ext cx="1143000" cy="314326"/>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t>METRIC UNITS</a:t>
          </a:r>
        </a:p>
      </xdr:txBody>
    </xdr:sp>
    <xdr:clientData/>
  </xdr:twoCellAnchor>
  <xdr:twoCellAnchor editAs="oneCell">
    <xdr:from>
      <xdr:col>5</xdr:col>
      <xdr:colOff>57151</xdr:colOff>
      <xdr:row>0</xdr:row>
      <xdr:rowOff>1</xdr:rowOff>
    </xdr:from>
    <xdr:to>
      <xdr:col>7</xdr:col>
      <xdr:colOff>152401</xdr:colOff>
      <xdr:row>3</xdr:row>
      <xdr:rowOff>82117</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3876676" y="1"/>
          <a:ext cx="1524000" cy="577416"/>
        </a:xfrm>
        <a:prstGeom prst="rect">
          <a:avLst/>
        </a:prstGeom>
      </xdr:spPr>
    </xdr:pic>
    <xdr:clientData/>
  </xdr:twoCellAnchor>
  <xdr:twoCellAnchor editAs="oneCell">
    <xdr:from>
      <xdr:col>1</xdr:col>
      <xdr:colOff>33617</xdr:colOff>
      <xdr:row>4</xdr:row>
      <xdr:rowOff>33618</xdr:rowOff>
    </xdr:from>
    <xdr:to>
      <xdr:col>6</xdr:col>
      <xdr:colOff>467187</xdr:colOff>
      <xdr:row>17</xdr:row>
      <xdr:rowOff>154213</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a:stretch>
          <a:fillRect/>
        </a:stretch>
      </xdr:blipFill>
      <xdr:spPr>
        <a:xfrm>
          <a:off x="201705" y="750794"/>
          <a:ext cx="5162453" cy="2160066"/>
        </a:xfrm>
        <a:prstGeom prst="rect">
          <a:avLst/>
        </a:prstGeom>
        <a:ln>
          <a:solidFill>
            <a:schemeClr val="tx1"/>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57150</xdr:rowOff>
    </xdr:from>
    <xdr:to>
      <xdr:col>4</xdr:col>
      <xdr:colOff>104775</xdr:colOff>
      <xdr:row>23</xdr:row>
      <xdr:rowOff>47625</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075"/>
          <a:ext cx="2543175" cy="3552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23</xdr:row>
      <xdr:rowOff>85725</xdr:rowOff>
    </xdr:from>
    <xdr:to>
      <xdr:col>6</xdr:col>
      <xdr:colOff>104775</xdr:colOff>
      <xdr:row>37</xdr:row>
      <xdr:rowOff>85725</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00"/>
          <a:ext cx="3762375" cy="226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37</xdr:row>
      <xdr:rowOff>19050</xdr:rowOff>
    </xdr:from>
    <xdr:to>
      <xdr:col>6</xdr:col>
      <xdr:colOff>133350</xdr:colOff>
      <xdr:row>54</xdr:row>
      <xdr:rowOff>19050</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575" y="6010275"/>
          <a:ext cx="3762375"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59235</xdr:colOff>
      <xdr:row>1</xdr:row>
      <xdr:rowOff>111579</xdr:rowOff>
    </xdr:from>
    <xdr:to>
      <xdr:col>17</xdr:col>
      <xdr:colOff>572069</xdr:colOff>
      <xdr:row>24</xdr:row>
      <xdr:rowOff>108857</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5570128" y="274865"/>
          <a:ext cx="5411405" cy="37528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G37"/>
  <sheetViews>
    <sheetView zoomScale="115" zoomScaleNormal="115" zoomScalePageLayoutView="55" workbookViewId="0">
      <selection activeCell="B2" sqref="B2"/>
    </sheetView>
  </sheetViews>
  <sheetFormatPr defaultRowHeight="12.75" x14ac:dyDescent="0.2"/>
  <cols>
    <col min="1" max="1" width="2.42578125" style="1" customWidth="1"/>
    <col min="2" max="2" width="20.7109375" style="1" customWidth="1"/>
    <col min="3" max="3" width="12.7109375" style="1" customWidth="1"/>
    <col min="4" max="7" width="10.7109375" style="1" customWidth="1"/>
    <col min="8" max="8" width="2.42578125" style="1" customWidth="1"/>
    <col min="9" max="235" width="9.140625" style="1"/>
    <col min="236" max="236" width="2.42578125" style="1" customWidth="1"/>
    <col min="237" max="237" width="20.7109375" style="1" customWidth="1"/>
    <col min="238" max="238" width="12.7109375" style="1" customWidth="1"/>
    <col min="239" max="242" width="10.7109375" style="1" customWidth="1"/>
    <col min="243" max="243" width="2.42578125" style="1" customWidth="1"/>
    <col min="244" max="248" width="9.140625" style="1"/>
    <col min="249" max="249" width="12.140625" style="1" bestFit="1" customWidth="1"/>
    <col min="250" max="491" width="9.140625" style="1"/>
    <col min="492" max="492" width="2.42578125" style="1" customWidth="1"/>
    <col min="493" max="493" width="20.7109375" style="1" customWidth="1"/>
    <col min="494" max="494" width="12.7109375" style="1" customWidth="1"/>
    <col min="495" max="498" width="10.7109375" style="1" customWidth="1"/>
    <col min="499" max="499" width="2.42578125" style="1" customWidth="1"/>
    <col min="500" max="504" width="9.140625" style="1"/>
    <col min="505" max="505" width="12.140625" style="1" bestFit="1" customWidth="1"/>
    <col min="506" max="747" width="9.140625" style="1"/>
    <col min="748" max="748" width="2.42578125" style="1" customWidth="1"/>
    <col min="749" max="749" width="20.7109375" style="1" customWidth="1"/>
    <col min="750" max="750" width="12.7109375" style="1" customWidth="1"/>
    <col min="751" max="754" width="10.7109375" style="1" customWidth="1"/>
    <col min="755" max="755" width="2.42578125" style="1" customWidth="1"/>
    <col min="756" max="760" width="9.140625" style="1"/>
    <col min="761" max="761" width="12.140625" style="1" bestFit="1" customWidth="1"/>
    <col min="762" max="1003" width="9.140625" style="1"/>
    <col min="1004" max="1004" width="2.42578125" style="1" customWidth="1"/>
    <col min="1005" max="1005" width="20.7109375" style="1" customWidth="1"/>
    <col min="1006" max="1006" width="12.7109375" style="1" customWidth="1"/>
    <col min="1007" max="1010" width="10.7109375" style="1" customWidth="1"/>
    <col min="1011" max="1011" width="2.42578125" style="1" customWidth="1"/>
    <col min="1012" max="1016" width="9.140625" style="1"/>
    <col min="1017" max="1017" width="12.140625" style="1" bestFit="1" customWidth="1"/>
    <col min="1018" max="1259" width="9.140625" style="1"/>
    <col min="1260" max="1260" width="2.42578125" style="1" customWidth="1"/>
    <col min="1261" max="1261" width="20.7109375" style="1" customWidth="1"/>
    <col min="1262" max="1262" width="12.7109375" style="1" customWidth="1"/>
    <col min="1263" max="1266" width="10.7109375" style="1" customWidth="1"/>
    <col min="1267" max="1267" width="2.42578125" style="1" customWidth="1"/>
    <col min="1268" max="1272" width="9.140625" style="1"/>
    <col min="1273" max="1273" width="12.140625" style="1" bestFit="1" customWidth="1"/>
    <col min="1274" max="1515" width="9.140625" style="1"/>
    <col min="1516" max="1516" width="2.42578125" style="1" customWidth="1"/>
    <col min="1517" max="1517" width="20.7109375" style="1" customWidth="1"/>
    <col min="1518" max="1518" width="12.7109375" style="1" customWidth="1"/>
    <col min="1519" max="1522" width="10.7109375" style="1" customWidth="1"/>
    <col min="1523" max="1523" width="2.42578125" style="1" customWidth="1"/>
    <col min="1524" max="1528" width="9.140625" style="1"/>
    <col min="1529" max="1529" width="12.140625" style="1" bestFit="1" customWidth="1"/>
    <col min="1530" max="1771" width="9.140625" style="1"/>
    <col min="1772" max="1772" width="2.42578125" style="1" customWidth="1"/>
    <col min="1773" max="1773" width="20.7109375" style="1" customWidth="1"/>
    <col min="1774" max="1774" width="12.7109375" style="1" customWidth="1"/>
    <col min="1775" max="1778" width="10.7109375" style="1" customWidth="1"/>
    <col min="1779" max="1779" width="2.42578125" style="1" customWidth="1"/>
    <col min="1780" max="1784" width="9.140625" style="1"/>
    <col min="1785" max="1785" width="12.140625" style="1" bestFit="1" customWidth="1"/>
    <col min="1786" max="2027" width="9.140625" style="1"/>
    <col min="2028" max="2028" width="2.42578125" style="1" customWidth="1"/>
    <col min="2029" max="2029" width="20.7109375" style="1" customWidth="1"/>
    <col min="2030" max="2030" width="12.7109375" style="1" customWidth="1"/>
    <col min="2031" max="2034" width="10.7109375" style="1" customWidth="1"/>
    <col min="2035" max="2035" width="2.42578125" style="1" customWidth="1"/>
    <col min="2036" max="2040" width="9.140625" style="1"/>
    <col min="2041" max="2041" width="12.140625" style="1" bestFit="1" customWidth="1"/>
    <col min="2042" max="2283" width="9.140625" style="1"/>
    <col min="2284" max="2284" width="2.42578125" style="1" customWidth="1"/>
    <col min="2285" max="2285" width="20.7109375" style="1" customWidth="1"/>
    <col min="2286" max="2286" width="12.7109375" style="1" customWidth="1"/>
    <col min="2287" max="2290" width="10.7109375" style="1" customWidth="1"/>
    <col min="2291" max="2291" width="2.42578125" style="1" customWidth="1"/>
    <col min="2292" max="2296" width="9.140625" style="1"/>
    <col min="2297" max="2297" width="12.140625" style="1" bestFit="1" customWidth="1"/>
    <col min="2298" max="2539" width="9.140625" style="1"/>
    <col min="2540" max="2540" width="2.42578125" style="1" customWidth="1"/>
    <col min="2541" max="2541" width="20.7109375" style="1" customWidth="1"/>
    <col min="2542" max="2542" width="12.7109375" style="1" customWidth="1"/>
    <col min="2543" max="2546" width="10.7109375" style="1" customWidth="1"/>
    <col min="2547" max="2547" width="2.42578125" style="1" customWidth="1"/>
    <col min="2548" max="2552" width="9.140625" style="1"/>
    <col min="2553" max="2553" width="12.140625" style="1" bestFit="1" customWidth="1"/>
    <col min="2554" max="2795" width="9.140625" style="1"/>
    <col min="2796" max="2796" width="2.42578125" style="1" customWidth="1"/>
    <col min="2797" max="2797" width="20.7109375" style="1" customWidth="1"/>
    <col min="2798" max="2798" width="12.7109375" style="1" customWidth="1"/>
    <col min="2799" max="2802" width="10.7109375" style="1" customWidth="1"/>
    <col min="2803" max="2803" width="2.42578125" style="1" customWidth="1"/>
    <col min="2804" max="2808" width="9.140625" style="1"/>
    <col min="2809" max="2809" width="12.140625" style="1" bestFit="1" customWidth="1"/>
    <col min="2810" max="3051" width="9.140625" style="1"/>
    <col min="3052" max="3052" width="2.42578125" style="1" customWidth="1"/>
    <col min="3053" max="3053" width="20.7109375" style="1" customWidth="1"/>
    <col min="3054" max="3054" width="12.7109375" style="1" customWidth="1"/>
    <col min="3055" max="3058" width="10.7109375" style="1" customWidth="1"/>
    <col min="3059" max="3059" width="2.42578125" style="1" customWidth="1"/>
    <col min="3060" max="3064" width="9.140625" style="1"/>
    <col min="3065" max="3065" width="12.140625" style="1" bestFit="1" customWidth="1"/>
    <col min="3066" max="3307" width="9.140625" style="1"/>
    <col min="3308" max="3308" width="2.42578125" style="1" customWidth="1"/>
    <col min="3309" max="3309" width="20.7109375" style="1" customWidth="1"/>
    <col min="3310" max="3310" width="12.7109375" style="1" customWidth="1"/>
    <col min="3311" max="3314" width="10.7109375" style="1" customWidth="1"/>
    <col min="3315" max="3315" width="2.42578125" style="1" customWidth="1"/>
    <col min="3316" max="3320" width="9.140625" style="1"/>
    <col min="3321" max="3321" width="12.140625" style="1" bestFit="1" customWidth="1"/>
    <col min="3322" max="3563" width="9.140625" style="1"/>
    <col min="3564" max="3564" width="2.42578125" style="1" customWidth="1"/>
    <col min="3565" max="3565" width="20.7109375" style="1" customWidth="1"/>
    <col min="3566" max="3566" width="12.7109375" style="1" customWidth="1"/>
    <col min="3567" max="3570" width="10.7109375" style="1" customWidth="1"/>
    <col min="3571" max="3571" width="2.42578125" style="1" customWidth="1"/>
    <col min="3572" max="3576" width="9.140625" style="1"/>
    <col min="3577" max="3577" width="12.140625" style="1" bestFit="1" customWidth="1"/>
    <col min="3578" max="3819" width="9.140625" style="1"/>
    <col min="3820" max="3820" width="2.42578125" style="1" customWidth="1"/>
    <col min="3821" max="3821" width="20.7109375" style="1" customWidth="1"/>
    <col min="3822" max="3822" width="12.7109375" style="1" customWidth="1"/>
    <col min="3823" max="3826" width="10.7109375" style="1" customWidth="1"/>
    <col min="3827" max="3827" width="2.42578125" style="1" customWidth="1"/>
    <col min="3828" max="3832" width="9.140625" style="1"/>
    <col min="3833" max="3833" width="12.140625" style="1" bestFit="1" customWidth="1"/>
    <col min="3834" max="4075" width="9.140625" style="1"/>
    <col min="4076" max="4076" width="2.42578125" style="1" customWidth="1"/>
    <col min="4077" max="4077" width="20.7109375" style="1" customWidth="1"/>
    <col min="4078" max="4078" width="12.7109375" style="1" customWidth="1"/>
    <col min="4079" max="4082" width="10.7109375" style="1" customWidth="1"/>
    <col min="4083" max="4083" width="2.42578125" style="1" customWidth="1"/>
    <col min="4084" max="4088" width="9.140625" style="1"/>
    <col min="4089" max="4089" width="12.140625" style="1" bestFit="1" customWidth="1"/>
    <col min="4090" max="4331" width="9.140625" style="1"/>
    <col min="4332" max="4332" width="2.42578125" style="1" customWidth="1"/>
    <col min="4333" max="4333" width="20.7109375" style="1" customWidth="1"/>
    <col min="4334" max="4334" width="12.7109375" style="1" customWidth="1"/>
    <col min="4335" max="4338" width="10.7109375" style="1" customWidth="1"/>
    <col min="4339" max="4339" width="2.42578125" style="1" customWidth="1"/>
    <col min="4340" max="4344" width="9.140625" style="1"/>
    <col min="4345" max="4345" width="12.140625" style="1" bestFit="1" customWidth="1"/>
    <col min="4346" max="4587" width="9.140625" style="1"/>
    <col min="4588" max="4588" width="2.42578125" style="1" customWidth="1"/>
    <col min="4589" max="4589" width="20.7109375" style="1" customWidth="1"/>
    <col min="4590" max="4590" width="12.7109375" style="1" customWidth="1"/>
    <col min="4591" max="4594" width="10.7109375" style="1" customWidth="1"/>
    <col min="4595" max="4595" width="2.42578125" style="1" customWidth="1"/>
    <col min="4596" max="4600" width="9.140625" style="1"/>
    <col min="4601" max="4601" width="12.140625" style="1" bestFit="1" customWidth="1"/>
    <col min="4602" max="4843" width="9.140625" style="1"/>
    <col min="4844" max="4844" width="2.42578125" style="1" customWidth="1"/>
    <col min="4845" max="4845" width="20.7109375" style="1" customWidth="1"/>
    <col min="4846" max="4846" width="12.7109375" style="1" customWidth="1"/>
    <col min="4847" max="4850" width="10.7109375" style="1" customWidth="1"/>
    <col min="4851" max="4851" width="2.42578125" style="1" customWidth="1"/>
    <col min="4852" max="4856" width="9.140625" style="1"/>
    <col min="4857" max="4857" width="12.140625" style="1" bestFit="1" customWidth="1"/>
    <col min="4858" max="5099" width="9.140625" style="1"/>
    <col min="5100" max="5100" width="2.42578125" style="1" customWidth="1"/>
    <col min="5101" max="5101" width="20.7109375" style="1" customWidth="1"/>
    <col min="5102" max="5102" width="12.7109375" style="1" customWidth="1"/>
    <col min="5103" max="5106" width="10.7109375" style="1" customWidth="1"/>
    <col min="5107" max="5107" width="2.42578125" style="1" customWidth="1"/>
    <col min="5108" max="5112" width="9.140625" style="1"/>
    <col min="5113" max="5113" width="12.140625" style="1" bestFit="1" customWidth="1"/>
    <col min="5114" max="5355" width="9.140625" style="1"/>
    <col min="5356" max="5356" width="2.42578125" style="1" customWidth="1"/>
    <col min="5357" max="5357" width="20.7109375" style="1" customWidth="1"/>
    <col min="5358" max="5358" width="12.7109375" style="1" customWidth="1"/>
    <col min="5359" max="5362" width="10.7109375" style="1" customWidth="1"/>
    <col min="5363" max="5363" width="2.42578125" style="1" customWidth="1"/>
    <col min="5364" max="5368" width="9.140625" style="1"/>
    <col min="5369" max="5369" width="12.140625" style="1" bestFit="1" customWidth="1"/>
    <col min="5370" max="5611" width="9.140625" style="1"/>
    <col min="5612" max="5612" width="2.42578125" style="1" customWidth="1"/>
    <col min="5613" max="5613" width="20.7109375" style="1" customWidth="1"/>
    <col min="5614" max="5614" width="12.7109375" style="1" customWidth="1"/>
    <col min="5615" max="5618" width="10.7109375" style="1" customWidth="1"/>
    <col min="5619" max="5619" width="2.42578125" style="1" customWidth="1"/>
    <col min="5620" max="5624" width="9.140625" style="1"/>
    <col min="5625" max="5625" width="12.140625" style="1" bestFit="1" customWidth="1"/>
    <col min="5626" max="5867" width="9.140625" style="1"/>
    <col min="5868" max="5868" width="2.42578125" style="1" customWidth="1"/>
    <col min="5869" max="5869" width="20.7109375" style="1" customWidth="1"/>
    <col min="5870" max="5870" width="12.7109375" style="1" customWidth="1"/>
    <col min="5871" max="5874" width="10.7109375" style="1" customWidth="1"/>
    <col min="5875" max="5875" width="2.42578125" style="1" customWidth="1"/>
    <col min="5876" max="5880" width="9.140625" style="1"/>
    <col min="5881" max="5881" width="12.140625" style="1" bestFit="1" customWidth="1"/>
    <col min="5882" max="6123" width="9.140625" style="1"/>
    <col min="6124" max="6124" width="2.42578125" style="1" customWidth="1"/>
    <col min="6125" max="6125" width="20.7109375" style="1" customWidth="1"/>
    <col min="6126" max="6126" width="12.7109375" style="1" customWidth="1"/>
    <col min="6127" max="6130" width="10.7109375" style="1" customWidth="1"/>
    <col min="6131" max="6131" width="2.42578125" style="1" customWidth="1"/>
    <col min="6132" max="6136" width="9.140625" style="1"/>
    <col min="6137" max="6137" width="12.140625" style="1" bestFit="1" customWidth="1"/>
    <col min="6138" max="6379" width="9.140625" style="1"/>
    <col min="6380" max="6380" width="2.42578125" style="1" customWidth="1"/>
    <col min="6381" max="6381" width="20.7109375" style="1" customWidth="1"/>
    <col min="6382" max="6382" width="12.7109375" style="1" customWidth="1"/>
    <col min="6383" max="6386" width="10.7109375" style="1" customWidth="1"/>
    <col min="6387" max="6387" width="2.42578125" style="1" customWidth="1"/>
    <col min="6388" max="6392" width="9.140625" style="1"/>
    <col min="6393" max="6393" width="12.140625" style="1" bestFit="1" customWidth="1"/>
    <col min="6394" max="6635" width="9.140625" style="1"/>
    <col min="6636" max="6636" width="2.42578125" style="1" customWidth="1"/>
    <col min="6637" max="6637" width="20.7109375" style="1" customWidth="1"/>
    <col min="6638" max="6638" width="12.7109375" style="1" customWidth="1"/>
    <col min="6639" max="6642" width="10.7109375" style="1" customWidth="1"/>
    <col min="6643" max="6643" width="2.42578125" style="1" customWidth="1"/>
    <col min="6644" max="6648" width="9.140625" style="1"/>
    <col min="6649" max="6649" width="12.140625" style="1" bestFit="1" customWidth="1"/>
    <col min="6650" max="6891" width="9.140625" style="1"/>
    <col min="6892" max="6892" width="2.42578125" style="1" customWidth="1"/>
    <col min="6893" max="6893" width="20.7109375" style="1" customWidth="1"/>
    <col min="6894" max="6894" width="12.7109375" style="1" customWidth="1"/>
    <col min="6895" max="6898" width="10.7109375" style="1" customWidth="1"/>
    <col min="6899" max="6899" width="2.42578125" style="1" customWidth="1"/>
    <col min="6900" max="6904" width="9.140625" style="1"/>
    <col min="6905" max="6905" width="12.140625" style="1" bestFit="1" customWidth="1"/>
    <col min="6906" max="7147" width="9.140625" style="1"/>
    <col min="7148" max="7148" width="2.42578125" style="1" customWidth="1"/>
    <col min="7149" max="7149" width="20.7109375" style="1" customWidth="1"/>
    <col min="7150" max="7150" width="12.7109375" style="1" customWidth="1"/>
    <col min="7151" max="7154" width="10.7109375" style="1" customWidth="1"/>
    <col min="7155" max="7155" width="2.42578125" style="1" customWidth="1"/>
    <col min="7156" max="7160" width="9.140625" style="1"/>
    <col min="7161" max="7161" width="12.140625" style="1" bestFit="1" customWidth="1"/>
    <col min="7162" max="7403" width="9.140625" style="1"/>
    <col min="7404" max="7404" width="2.42578125" style="1" customWidth="1"/>
    <col min="7405" max="7405" width="20.7109375" style="1" customWidth="1"/>
    <col min="7406" max="7406" width="12.7109375" style="1" customWidth="1"/>
    <col min="7407" max="7410" width="10.7109375" style="1" customWidth="1"/>
    <col min="7411" max="7411" width="2.42578125" style="1" customWidth="1"/>
    <col min="7412" max="7416" width="9.140625" style="1"/>
    <col min="7417" max="7417" width="12.140625" style="1" bestFit="1" customWidth="1"/>
    <col min="7418" max="7659" width="9.140625" style="1"/>
    <col min="7660" max="7660" width="2.42578125" style="1" customWidth="1"/>
    <col min="7661" max="7661" width="20.7109375" style="1" customWidth="1"/>
    <col min="7662" max="7662" width="12.7109375" style="1" customWidth="1"/>
    <col min="7663" max="7666" width="10.7109375" style="1" customWidth="1"/>
    <col min="7667" max="7667" width="2.42578125" style="1" customWidth="1"/>
    <col min="7668" max="7672" width="9.140625" style="1"/>
    <col min="7673" max="7673" width="12.140625" style="1" bestFit="1" customWidth="1"/>
    <col min="7674" max="7915" width="9.140625" style="1"/>
    <col min="7916" max="7916" width="2.42578125" style="1" customWidth="1"/>
    <col min="7917" max="7917" width="20.7109375" style="1" customWidth="1"/>
    <col min="7918" max="7918" width="12.7109375" style="1" customWidth="1"/>
    <col min="7919" max="7922" width="10.7109375" style="1" customWidth="1"/>
    <col min="7923" max="7923" width="2.42578125" style="1" customWidth="1"/>
    <col min="7924" max="7928" width="9.140625" style="1"/>
    <col min="7929" max="7929" width="12.140625" style="1" bestFit="1" customWidth="1"/>
    <col min="7930" max="8171" width="9.140625" style="1"/>
    <col min="8172" max="8172" width="2.42578125" style="1" customWidth="1"/>
    <col min="8173" max="8173" width="20.7109375" style="1" customWidth="1"/>
    <col min="8174" max="8174" width="12.7109375" style="1" customWidth="1"/>
    <col min="8175" max="8178" width="10.7109375" style="1" customWidth="1"/>
    <col min="8179" max="8179" width="2.42578125" style="1" customWidth="1"/>
    <col min="8180" max="8184" width="9.140625" style="1"/>
    <col min="8185" max="8185" width="12.140625" style="1" bestFit="1" customWidth="1"/>
    <col min="8186" max="8427" width="9.140625" style="1"/>
    <col min="8428" max="8428" width="2.42578125" style="1" customWidth="1"/>
    <col min="8429" max="8429" width="20.7109375" style="1" customWidth="1"/>
    <col min="8430" max="8430" width="12.7109375" style="1" customWidth="1"/>
    <col min="8431" max="8434" width="10.7109375" style="1" customWidth="1"/>
    <col min="8435" max="8435" width="2.42578125" style="1" customWidth="1"/>
    <col min="8436" max="8440" width="9.140625" style="1"/>
    <col min="8441" max="8441" width="12.140625" style="1" bestFit="1" customWidth="1"/>
    <col min="8442" max="8683" width="9.140625" style="1"/>
    <col min="8684" max="8684" width="2.42578125" style="1" customWidth="1"/>
    <col min="8685" max="8685" width="20.7109375" style="1" customWidth="1"/>
    <col min="8686" max="8686" width="12.7109375" style="1" customWidth="1"/>
    <col min="8687" max="8690" width="10.7109375" style="1" customWidth="1"/>
    <col min="8691" max="8691" width="2.42578125" style="1" customWidth="1"/>
    <col min="8692" max="8696" width="9.140625" style="1"/>
    <col min="8697" max="8697" width="12.140625" style="1" bestFit="1" customWidth="1"/>
    <col min="8698" max="8939" width="9.140625" style="1"/>
    <col min="8940" max="8940" width="2.42578125" style="1" customWidth="1"/>
    <col min="8941" max="8941" width="20.7109375" style="1" customWidth="1"/>
    <col min="8942" max="8942" width="12.7109375" style="1" customWidth="1"/>
    <col min="8943" max="8946" width="10.7109375" style="1" customWidth="1"/>
    <col min="8947" max="8947" width="2.42578125" style="1" customWidth="1"/>
    <col min="8948" max="8952" width="9.140625" style="1"/>
    <col min="8953" max="8953" width="12.140625" style="1" bestFit="1" customWidth="1"/>
    <col min="8954" max="9195" width="9.140625" style="1"/>
    <col min="9196" max="9196" width="2.42578125" style="1" customWidth="1"/>
    <col min="9197" max="9197" width="20.7109375" style="1" customWidth="1"/>
    <col min="9198" max="9198" width="12.7109375" style="1" customWidth="1"/>
    <col min="9199" max="9202" width="10.7109375" style="1" customWidth="1"/>
    <col min="9203" max="9203" width="2.42578125" style="1" customWidth="1"/>
    <col min="9204" max="9208" width="9.140625" style="1"/>
    <col min="9209" max="9209" width="12.140625" style="1" bestFit="1" customWidth="1"/>
    <col min="9210" max="9451" width="9.140625" style="1"/>
    <col min="9452" max="9452" width="2.42578125" style="1" customWidth="1"/>
    <col min="9453" max="9453" width="20.7109375" style="1" customWidth="1"/>
    <col min="9454" max="9454" width="12.7109375" style="1" customWidth="1"/>
    <col min="9455" max="9458" width="10.7109375" style="1" customWidth="1"/>
    <col min="9459" max="9459" width="2.42578125" style="1" customWidth="1"/>
    <col min="9460" max="9464" width="9.140625" style="1"/>
    <col min="9465" max="9465" width="12.140625" style="1" bestFit="1" customWidth="1"/>
    <col min="9466" max="9707" width="9.140625" style="1"/>
    <col min="9708" max="9708" width="2.42578125" style="1" customWidth="1"/>
    <col min="9709" max="9709" width="20.7109375" style="1" customWidth="1"/>
    <col min="9710" max="9710" width="12.7109375" style="1" customWidth="1"/>
    <col min="9711" max="9714" width="10.7109375" style="1" customWidth="1"/>
    <col min="9715" max="9715" width="2.42578125" style="1" customWidth="1"/>
    <col min="9716" max="9720" width="9.140625" style="1"/>
    <col min="9721" max="9721" width="12.140625" style="1" bestFit="1" customWidth="1"/>
    <col min="9722" max="9963" width="9.140625" style="1"/>
    <col min="9964" max="9964" width="2.42578125" style="1" customWidth="1"/>
    <col min="9965" max="9965" width="20.7109375" style="1" customWidth="1"/>
    <col min="9966" max="9966" width="12.7109375" style="1" customWidth="1"/>
    <col min="9967" max="9970" width="10.7109375" style="1" customWidth="1"/>
    <col min="9971" max="9971" width="2.42578125" style="1" customWidth="1"/>
    <col min="9972" max="9976" width="9.140625" style="1"/>
    <col min="9977" max="9977" width="12.140625" style="1" bestFit="1" customWidth="1"/>
    <col min="9978" max="10219" width="9.140625" style="1"/>
    <col min="10220" max="10220" width="2.42578125" style="1" customWidth="1"/>
    <col min="10221" max="10221" width="20.7109375" style="1" customWidth="1"/>
    <col min="10222" max="10222" width="12.7109375" style="1" customWidth="1"/>
    <col min="10223" max="10226" width="10.7109375" style="1" customWidth="1"/>
    <col min="10227" max="10227" width="2.42578125" style="1" customWidth="1"/>
    <col min="10228" max="10232" width="9.140625" style="1"/>
    <col min="10233" max="10233" width="12.140625" style="1" bestFit="1" customWidth="1"/>
    <col min="10234" max="10475" width="9.140625" style="1"/>
    <col min="10476" max="10476" width="2.42578125" style="1" customWidth="1"/>
    <col min="10477" max="10477" width="20.7109375" style="1" customWidth="1"/>
    <col min="10478" max="10478" width="12.7109375" style="1" customWidth="1"/>
    <col min="10479" max="10482" width="10.7109375" style="1" customWidth="1"/>
    <col min="10483" max="10483" width="2.42578125" style="1" customWidth="1"/>
    <col min="10484" max="10488" width="9.140625" style="1"/>
    <col min="10489" max="10489" width="12.140625" style="1" bestFit="1" customWidth="1"/>
    <col min="10490" max="10731" width="9.140625" style="1"/>
    <col min="10732" max="10732" width="2.42578125" style="1" customWidth="1"/>
    <col min="10733" max="10733" width="20.7109375" style="1" customWidth="1"/>
    <col min="10734" max="10734" width="12.7109375" style="1" customWidth="1"/>
    <col min="10735" max="10738" width="10.7109375" style="1" customWidth="1"/>
    <col min="10739" max="10739" width="2.42578125" style="1" customWidth="1"/>
    <col min="10740" max="10744" width="9.140625" style="1"/>
    <col min="10745" max="10745" width="12.140625" style="1" bestFit="1" customWidth="1"/>
    <col min="10746" max="10987" width="9.140625" style="1"/>
    <col min="10988" max="10988" width="2.42578125" style="1" customWidth="1"/>
    <col min="10989" max="10989" width="20.7109375" style="1" customWidth="1"/>
    <col min="10990" max="10990" width="12.7109375" style="1" customWidth="1"/>
    <col min="10991" max="10994" width="10.7109375" style="1" customWidth="1"/>
    <col min="10995" max="10995" width="2.42578125" style="1" customWidth="1"/>
    <col min="10996" max="11000" width="9.140625" style="1"/>
    <col min="11001" max="11001" width="12.140625" style="1" bestFit="1" customWidth="1"/>
    <col min="11002" max="11243" width="9.140625" style="1"/>
    <col min="11244" max="11244" width="2.42578125" style="1" customWidth="1"/>
    <col min="11245" max="11245" width="20.7109375" style="1" customWidth="1"/>
    <col min="11246" max="11246" width="12.7109375" style="1" customWidth="1"/>
    <col min="11247" max="11250" width="10.7109375" style="1" customWidth="1"/>
    <col min="11251" max="11251" width="2.42578125" style="1" customWidth="1"/>
    <col min="11252" max="11256" width="9.140625" style="1"/>
    <col min="11257" max="11257" width="12.140625" style="1" bestFit="1" customWidth="1"/>
    <col min="11258" max="11499" width="9.140625" style="1"/>
    <col min="11500" max="11500" width="2.42578125" style="1" customWidth="1"/>
    <col min="11501" max="11501" width="20.7109375" style="1" customWidth="1"/>
    <col min="11502" max="11502" width="12.7109375" style="1" customWidth="1"/>
    <col min="11503" max="11506" width="10.7109375" style="1" customWidth="1"/>
    <col min="11507" max="11507" width="2.42578125" style="1" customWidth="1"/>
    <col min="11508" max="11512" width="9.140625" style="1"/>
    <col min="11513" max="11513" width="12.140625" style="1" bestFit="1" customWidth="1"/>
    <col min="11514" max="11755" width="9.140625" style="1"/>
    <col min="11756" max="11756" width="2.42578125" style="1" customWidth="1"/>
    <col min="11757" max="11757" width="20.7109375" style="1" customWidth="1"/>
    <col min="11758" max="11758" width="12.7109375" style="1" customWidth="1"/>
    <col min="11759" max="11762" width="10.7109375" style="1" customWidth="1"/>
    <col min="11763" max="11763" width="2.42578125" style="1" customWidth="1"/>
    <col min="11764" max="11768" width="9.140625" style="1"/>
    <col min="11769" max="11769" width="12.140625" style="1" bestFit="1" customWidth="1"/>
    <col min="11770" max="12011" width="9.140625" style="1"/>
    <col min="12012" max="12012" width="2.42578125" style="1" customWidth="1"/>
    <col min="12013" max="12013" width="20.7109375" style="1" customWidth="1"/>
    <col min="12014" max="12014" width="12.7109375" style="1" customWidth="1"/>
    <col min="12015" max="12018" width="10.7109375" style="1" customWidth="1"/>
    <col min="12019" max="12019" width="2.42578125" style="1" customWidth="1"/>
    <col min="12020" max="12024" width="9.140625" style="1"/>
    <col min="12025" max="12025" width="12.140625" style="1" bestFit="1" customWidth="1"/>
    <col min="12026" max="12267" width="9.140625" style="1"/>
    <col min="12268" max="12268" width="2.42578125" style="1" customWidth="1"/>
    <col min="12269" max="12269" width="20.7109375" style="1" customWidth="1"/>
    <col min="12270" max="12270" width="12.7109375" style="1" customWidth="1"/>
    <col min="12271" max="12274" width="10.7109375" style="1" customWidth="1"/>
    <col min="12275" max="12275" width="2.42578125" style="1" customWidth="1"/>
    <col min="12276" max="12280" width="9.140625" style="1"/>
    <col min="12281" max="12281" width="12.140625" style="1" bestFit="1" customWidth="1"/>
    <col min="12282" max="12523" width="9.140625" style="1"/>
    <col min="12524" max="12524" width="2.42578125" style="1" customWidth="1"/>
    <col min="12525" max="12525" width="20.7109375" style="1" customWidth="1"/>
    <col min="12526" max="12526" width="12.7109375" style="1" customWidth="1"/>
    <col min="12527" max="12530" width="10.7109375" style="1" customWidth="1"/>
    <col min="12531" max="12531" width="2.42578125" style="1" customWidth="1"/>
    <col min="12532" max="12536" width="9.140625" style="1"/>
    <col min="12537" max="12537" width="12.140625" style="1" bestFit="1" customWidth="1"/>
    <col min="12538" max="12779" width="9.140625" style="1"/>
    <col min="12780" max="12780" width="2.42578125" style="1" customWidth="1"/>
    <col min="12781" max="12781" width="20.7109375" style="1" customWidth="1"/>
    <col min="12782" max="12782" width="12.7109375" style="1" customWidth="1"/>
    <col min="12783" max="12786" width="10.7109375" style="1" customWidth="1"/>
    <col min="12787" max="12787" width="2.42578125" style="1" customWidth="1"/>
    <col min="12788" max="12792" width="9.140625" style="1"/>
    <col min="12793" max="12793" width="12.140625" style="1" bestFit="1" customWidth="1"/>
    <col min="12794" max="13035" width="9.140625" style="1"/>
    <col min="13036" max="13036" width="2.42578125" style="1" customWidth="1"/>
    <col min="13037" max="13037" width="20.7109375" style="1" customWidth="1"/>
    <col min="13038" max="13038" width="12.7109375" style="1" customWidth="1"/>
    <col min="13039" max="13042" width="10.7109375" style="1" customWidth="1"/>
    <col min="13043" max="13043" width="2.42578125" style="1" customWidth="1"/>
    <col min="13044" max="13048" width="9.140625" style="1"/>
    <col min="13049" max="13049" width="12.140625" style="1" bestFit="1" customWidth="1"/>
    <col min="13050" max="13291" width="9.140625" style="1"/>
    <col min="13292" max="13292" width="2.42578125" style="1" customWidth="1"/>
    <col min="13293" max="13293" width="20.7109375" style="1" customWidth="1"/>
    <col min="13294" max="13294" width="12.7109375" style="1" customWidth="1"/>
    <col min="13295" max="13298" width="10.7109375" style="1" customWidth="1"/>
    <col min="13299" max="13299" width="2.42578125" style="1" customWidth="1"/>
    <col min="13300" max="13304" width="9.140625" style="1"/>
    <col min="13305" max="13305" width="12.140625" style="1" bestFit="1" customWidth="1"/>
    <col min="13306" max="13547" width="9.140625" style="1"/>
    <col min="13548" max="13548" width="2.42578125" style="1" customWidth="1"/>
    <col min="13549" max="13549" width="20.7109375" style="1" customWidth="1"/>
    <col min="13550" max="13550" width="12.7109375" style="1" customWidth="1"/>
    <col min="13551" max="13554" width="10.7109375" style="1" customWidth="1"/>
    <col min="13555" max="13555" width="2.42578125" style="1" customWidth="1"/>
    <col min="13556" max="13560" width="9.140625" style="1"/>
    <col min="13561" max="13561" width="12.140625" style="1" bestFit="1" customWidth="1"/>
    <col min="13562" max="13803" width="9.140625" style="1"/>
    <col min="13804" max="13804" width="2.42578125" style="1" customWidth="1"/>
    <col min="13805" max="13805" width="20.7109375" style="1" customWidth="1"/>
    <col min="13806" max="13806" width="12.7109375" style="1" customWidth="1"/>
    <col min="13807" max="13810" width="10.7109375" style="1" customWidth="1"/>
    <col min="13811" max="13811" width="2.42578125" style="1" customWidth="1"/>
    <col min="13812" max="13816" width="9.140625" style="1"/>
    <col min="13817" max="13817" width="12.140625" style="1" bestFit="1" customWidth="1"/>
    <col min="13818" max="14059" width="9.140625" style="1"/>
    <col min="14060" max="14060" width="2.42578125" style="1" customWidth="1"/>
    <col min="14061" max="14061" width="20.7109375" style="1" customWidth="1"/>
    <col min="14062" max="14062" width="12.7109375" style="1" customWidth="1"/>
    <col min="14063" max="14066" width="10.7109375" style="1" customWidth="1"/>
    <col min="14067" max="14067" width="2.42578125" style="1" customWidth="1"/>
    <col min="14068" max="14072" width="9.140625" style="1"/>
    <col min="14073" max="14073" width="12.140625" style="1" bestFit="1" customWidth="1"/>
    <col min="14074" max="14315" width="9.140625" style="1"/>
    <col min="14316" max="14316" width="2.42578125" style="1" customWidth="1"/>
    <col min="14317" max="14317" width="20.7109375" style="1" customWidth="1"/>
    <col min="14318" max="14318" width="12.7109375" style="1" customWidth="1"/>
    <col min="14319" max="14322" width="10.7109375" style="1" customWidth="1"/>
    <col min="14323" max="14323" width="2.42578125" style="1" customWidth="1"/>
    <col min="14324" max="14328" width="9.140625" style="1"/>
    <col min="14329" max="14329" width="12.140625" style="1" bestFit="1" customWidth="1"/>
    <col min="14330" max="14571" width="9.140625" style="1"/>
    <col min="14572" max="14572" width="2.42578125" style="1" customWidth="1"/>
    <col min="14573" max="14573" width="20.7109375" style="1" customWidth="1"/>
    <col min="14574" max="14574" width="12.7109375" style="1" customWidth="1"/>
    <col min="14575" max="14578" width="10.7109375" style="1" customWidth="1"/>
    <col min="14579" max="14579" width="2.42578125" style="1" customWidth="1"/>
    <col min="14580" max="14584" width="9.140625" style="1"/>
    <col min="14585" max="14585" width="12.140625" style="1" bestFit="1" customWidth="1"/>
    <col min="14586" max="14827" width="9.140625" style="1"/>
    <col min="14828" max="14828" width="2.42578125" style="1" customWidth="1"/>
    <col min="14829" max="14829" width="20.7109375" style="1" customWidth="1"/>
    <col min="14830" max="14830" width="12.7109375" style="1" customWidth="1"/>
    <col min="14831" max="14834" width="10.7109375" style="1" customWidth="1"/>
    <col min="14835" max="14835" width="2.42578125" style="1" customWidth="1"/>
    <col min="14836" max="14840" width="9.140625" style="1"/>
    <col min="14841" max="14841" width="12.140625" style="1" bestFit="1" customWidth="1"/>
    <col min="14842" max="15083" width="9.140625" style="1"/>
    <col min="15084" max="15084" width="2.42578125" style="1" customWidth="1"/>
    <col min="15085" max="15085" width="20.7109375" style="1" customWidth="1"/>
    <col min="15086" max="15086" width="12.7109375" style="1" customWidth="1"/>
    <col min="15087" max="15090" width="10.7109375" style="1" customWidth="1"/>
    <col min="15091" max="15091" width="2.42578125" style="1" customWidth="1"/>
    <col min="15092" max="15096" width="9.140625" style="1"/>
    <col min="15097" max="15097" width="12.140625" style="1" bestFit="1" customWidth="1"/>
    <col min="15098" max="15339" width="9.140625" style="1"/>
    <col min="15340" max="15340" width="2.42578125" style="1" customWidth="1"/>
    <col min="15341" max="15341" width="20.7109375" style="1" customWidth="1"/>
    <col min="15342" max="15342" width="12.7109375" style="1" customWidth="1"/>
    <col min="15343" max="15346" width="10.7109375" style="1" customWidth="1"/>
    <col min="15347" max="15347" width="2.42578125" style="1" customWidth="1"/>
    <col min="15348" max="15352" width="9.140625" style="1"/>
    <col min="15353" max="15353" width="12.140625" style="1" bestFit="1" customWidth="1"/>
    <col min="15354" max="15595" width="9.140625" style="1"/>
    <col min="15596" max="15596" width="2.42578125" style="1" customWidth="1"/>
    <col min="15597" max="15597" width="20.7109375" style="1" customWidth="1"/>
    <col min="15598" max="15598" width="12.7109375" style="1" customWidth="1"/>
    <col min="15599" max="15602" width="10.7109375" style="1" customWidth="1"/>
    <col min="15603" max="15603" width="2.42578125" style="1" customWidth="1"/>
    <col min="15604" max="15608" width="9.140625" style="1"/>
    <col min="15609" max="15609" width="12.140625" style="1" bestFit="1" customWidth="1"/>
    <col min="15610" max="15851" width="9.140625" style="1"/>
    <col min="15852" max="15852" width="2.42578125" style="1" customWidth="1"/>
    <col min="15853" max="15853" width="20.7109375" style="1" customWidth="1"/>
    <col min="15854" max="15854" width="12.7109375" style="1" customWidth="1"/>
    <col min="15855" max="15858" width="10.7109375" style="1" customWidth="1"/>
    <col min="15859" max="15859" width="2.42578125" style="1" customWidth="1"/>
    <col min="15860" max="15864" width="9.140625" style="1"/>
    <col min="15865" max="15865" width="12.140625" style="1" bestFit="1" customWidth="1"/>
    <col min="15866" max="16107" width="9.140625" style="1"/>
    <col min="16108" max="16108" width="2.42578125" style="1" customWidth="1"/>
    <col min="16109" max="16109" width="20.7109375" style="1" customWidth="1"/>
    <col min="16110" max="16110" width="12.7109375" style="1" customWidth="1"/>
    <col min="16111" max="16114" width="10.7109375" style="1" customWidth="1"/>
    <col min="16115" max="16115" width="2.42578125" style="1" customWidth="1"/>
    <col min="16116" max="16120" width="9.140625" style="1"/>
    <col min="16121" max="16121" width="12.140625" style="1" bestFit="1" customWidth="1"/>
    <col min="16122" max="16384" width="9.140625" style="1"/>
  </cols>
  <sheetData>
    <row r="2" spans="1:7" x14ac:dyDescent="0.2">
      <c r="B2" s="10"/>
      <c r="C2" s="11"/>
      <c r="D2" s="11"/>
    </row>
    <row r="3" spans="1:7" ht="24" thickBot="1" x14ac:dyDescent="0.4">
      <c r="B3" s="387" t="s">
        <v>233</v>
      </c>
      <c r="C3" s="71"/>
    </row>
    <row r="4" spans="1:7" ht="27.75" customHeight="1" x14ac:dyDescent="0.2">
      <c r="A4" s="72">
        <v>1</v>
      </c>
      <c r="B4" s="415" t="s">
        <v>229</v>
      </c>
      <c r="C4" s="412"/>
      <c r="D4" s="412"/>
      <c r="E4" s="412"/>
      <c r="F4" s="412"/>
      <c r="G4" s="412"/>
    </row>
    <row r="5" spans="1:7" ht="42.75" customHeight="1" x14ac:dyDescent="0.2">
      <c r="A5" s="72">
        <v>2</v>
      </c>
      <c r="B5" s="415" t="s">
        <v>235</v>
      </c>
      <c r="C5" s="412"/>
      <c r="D5" s="412"/>
      <c r="E5" s="412"/>
      <c r="F5" s="412"/>
      <c r="G5" s="412"/>
    </row>
    <row r="6" spans="1:7" ht="42.75" customHeight="1" x14ac:dyDescent="0.2">
      <c r="A6" s="72">
        <v>3</v>
      </c>
      <c r="B6" s="415" t="s">
        <v>230</v>
      </c>
      <c r="C6" s="413"/>
      <c r="D6" s="413"/>
      <c r="E6" s="413"/>
      <c r="F6" s="413"/>
      <c r="G6" s="413"/>
    </row>
    <row r="7" spans="1:7" ht="27.75" customHeight="1" x14ac:dyDescent="0.2">
      <c r="A7" s="72">
        <v>4</v>
      </c>
      <c r="B7" s="415" t="s">
        <v>231</v>
      </c>
      <c r="C7" s="412"/>
      <c r="D7" s="412"/>
      <c r="E7" s="412"/>
      <c r="F7" s="412"/>
      <c r="G7" s="412"/>
    </row>
    <row r="8" spans="1:7" ht="39" customHeight="1" x14ac:dyDescent="0.2">
      <c r="A8" s="72">
        <v>5</v>
      </c>
      <c r="B8" s="415" t="s">
        <v>234</v>
      </c>
      <c r="C8" s="413"/>
      <c r="D8" s="413"/>
      <c r="E8" s="413"/>
      <c r="F8" s="413"/>
      <c r="G8" s="413"/>
    </row>
    <row r="9" spans="1:7" ht="54.75" customHeight="1" x14ac:dyDescent="0.2">
      <c r="A9" s="72">
        <v>6</v>
      </c>
      <c r="B9" s="415" t="s">
        <v>236</v>
      </c>
      <c r="C9" s="413"/>
      <c r="D9" s="413"/>
      <c r="E9" s="413"/>
      <c r="F9" s="413"/>
      <c r="G9" s="413"/>
    </row>
    <row r="10" spans="1:7" ht="26.25" customHeight="1" x14ac:dyDescent="0.2">
      <c r="A10" s="72"/>
      <c r="B10" s="73"/>
      <c r="C10" s="73"/>
      <c r="D10" s="73"/>
      <c r="E10" s="73"/>
      <c r="F10" s="73"/>
      <c r="G10" s="73"/>
    </row>
    <row r="11" spans="1:7" ht="31.5" customHeight="1" thickBot="1" x14ac:dyDescent="0.4">
      <c r="B11" s="387" t="s">
        <v>54</v>
      </c>
      <c r="C11" s="71"/>
    </row>
    <row r="12" spans="1:7" ht="27" customHeight="1" x14ac:dyDescent="0.2">
      <c r="A12" s="72">
        <v>1</v>
      </c>
      <c r="B12" s="412" t="s">
        <v>55</v>
      </c>
      <c r="C12" s="412"/>
      <c r="D12" s="412"/>
      <c r="E12" s="412"/>
      <c r="F12" s="412"/>
      <c r="G12" s="412"/>
    </row>
    <row r="13" spans="1:7" ht="40.5" customHeight="1" x14ac:dyDescent="0.2">
      <c r="A13" s="72">
        <v>2</v>
      </c>
      <c r="B13" s="412" t="s">
        <v>188</v>
      </c>
      <c r="C13" s="412"/>
      <c r="D13" s="412"/>
      <c r="E13" s="412"/>
      <c r="F13" s="412"/>
      <c r="G13" s="412"/>
    </row>
    <row r="14" spans="1:7" ht="40.5" customHeight="1" x14ac:dyDescent="0.2">
      <c r="A14" s="72">
        <v>3</v>
      </c>
      <c r="B14" s="415" t="s">
        <v>240</v>
      </c>
      <c r="C14" s="415"/>
      <c r="D14" s="415"/>
      <c r="E14" s="415"/>
      <c r="F14" s="415"/>
      <c r="G14" s="415"/>
    </row>
    <row r="15" spans="1:7" ht="69.75" customHeight="1" x14ac:dyDescent="0.2">
      <c r="A15" s="72">
        <v>4</v>
      </c>
      <c r="B15" s="415" t="s">
        <v>232</v>
      </c>
      <c r="C15" s="413"/>
      <c r="D15" s="413"/>
      <c r="E15" s="413"/>
      <c r="F15" s="413"/>
      <c r="G15" s="413"/>
    </row>
    <row r="16" spans="1:7" ht="27.75" customHeight="1" x14ac:dyDescent="0.2">
      <c r="A16" s="72">
        <v>5</v>
      </c>
      <c r="B16" s="412" t="s">
        <v>190</v>
      </c>
      <c r="C16" s="413"/>
      <c r="D16" s="413"/>
      <c r="E16" s="413"/>
      <c r="F16" s="413"/>
      <c r="G16" s="413"/>
    </row>
    <row r="17" spans="1:7" ht="39.75" customHeight="1" x14ac:dyDescent="0.2">
      <c r="A17" s="72">
        <v>6</v>
      </c>
      <c r="B17" s="412" t="s">
        <v>189</v>
      </c>
      <c r="C17" s="412"/>
      <c r="D17" s="412"/>
      <c r="E17" s="412"/>
      <c r="F17" s="412"/>
      <c r="G17" s="412"/>
    </row>
    <row r="18" spans="1:7" ht="38.25" customHeight="1" x14ac:dyDescent="0.2">
      <c r="A18" s="72">
        <v>7</v>
      </c>
      <c r="B18" s="412" t="s">
        <v>57</v>
      </c>
      <c r="C18" s="413"/>
      <c r="D18" s="413"/>
      <c r="E18" s="413"/>
      <c r="F18" s="413"/>
      <c r="G18" s="413"/>
    </row>
    <row r="19" spans="1:7" ht="27" customHeight="1" x14ac:dyDescent="0.2">
      <c r="A19" s="72">
        <v>8</v>
      </c>
      <c r="B19" s="412" t="s">
        <v>58</v>
      </c>
      <c r="C19" s="413"/>
      <c r="D19" s="413"/>
      <c r="E19" s="413"/>
      <c r="F19" s="413"/>
      <c r="G19" s="413"/>
    </row>
    <row r="20" spans="1:7" ht="12.75" customHeight="1" x14ac:dyDescent="0.2">
      <c r="A20" s="72"/>
      <c r="B20" s="73"/>
      <c r="C20" s="73"/>
      <c r="D20" s="73"/>
      <c r="E20" s="73"/>
      <c r="F20" s="73"/>
      <c r="G20" s="73"/>
    </row>
    <row r="21" spans="1:7" ht="12.75" customHeight="1" x14ac:dyDescent="0.2">
      <c r="A21" s="72">
        <v>9</v>
      </c>
      <c r="B21" s="414" t="s">
        <v>59</v>
      </c>
      <c r="C21" s="414"/>
      <c r="D21" s="414"/>
      <c r="E21" s="414"/>
      <c r="F21" s="414"/>
      <c r="G21" s="414"/>
    </row>
    <row r="22" spans="1:7" ht="12.75" customHeight="1" x14ac:dyDescent="0.2">
      <c r="A22" s="72"/>
      <c r="B22" s="414"/>
      <c r="C22" s="414"/>
      <c r="D22" s="414"/>
      <c r="E22" s="414"/>
      <c r="F22" s="414"/>
      <c r="G22" s="414"/>
    </row>
    <row r="23" spans="1:7" ht="12.75" customHeight="1" x14ac:dyDescent="0.2">
      <c r="B23" s="414"/>
      <c r="C23" s="414"/>
      <c r="D23" s="414"/>
      <c r="E23" s="414"/>
      <c r="F23" s="414"/>
      <c r="G23" s="414"/>
    </row>
    <row r="24" spans="1:7" ht="12.75" customHeight="1" x14ac:dyDescent="0.2">
      <c r="B24" s="414"/>
      <c r="C24" s="414"/>
      <c r="D24" s="414"/>
      <c r="E24" s="414"/>
      <c r="F24" s="414"/>
      <c r="G24" s="414"/>
    </row>
    <row r="25" spans="1:7" ht="12.75" customHeight="1" x14ac:dyDescent="0.2">
      <c r="B25" s="414"/>
      <c r="C25" s="414"/>
      <c r="D25" s="414"/>
      <c r="E25" s="414"/>
      <c r="F25" s="414"/>
      <c r="G25" s="414"/>
    </row>
    <row r="26" spans="1:7" ht="12.75" customHeight="1" x14ac:dyDescent="0.2">
      <c r="B26" s="414"/>
      <c r="C26" s="414"/>
      <c r="D26" s="414"/>
      <c r="E26" s="414"/>
      <c r="F26" s="414"/>
      <c r="G26" s="414"/>
    </row>
    <row r="27" spans="1:7" ht="24" customHeight="1" x14ac:dyDescent="0.2">
      <c r="B27" s="414"/>
      <c r="C27" s="414"/>
      <c r="D27" s="414"/>
      <c r="E27" s="414"/>
      <c r="F27" s="414"/>
      <c r="G27" s="414"/>
    </row>
    <row r="28" spans="1:7" ht="12.75" customHeight="1" x14ac:dyDescent="0.2">
      <c r="B28" s="414"/>
      <c r="C28" s="414"/>
      <c r="D28" s="414"/>
      <c r="E28" s="414"/>
      <c r="F28" s="414"/>
      <c r="G28" s="414"/>
    </row>
    <row r="29" spans="1:7" ht="12.75" customHeight="1" x14ac:dyDescent="0.2">
      <c r="B29" s="414"/>
      <c r="C29" s="414"/>
      <c r="D29" s="414"/>
      <c r="E29" s="414"/>
      <c r="F29" s="414"/>
      <c r="G29" s="414"/>
    </row>
    <row r="30" spans="1:7" x14ac:dyDescent="0.2">
      <c r="B30" s="414"/>
      <c r="C30" s="414"/>
      <c r="D30" s="414"/>
      <c r="E30" s="414"/>
      <c r="F30" s="414"/>
      <c r="G30" s="414"/>
    </row>
    <row r="31" spans="1:7" x14ac:dyDescent="0.2">
      <c r="B31" s="414"/>
      <c r="C31" s="414"/>
      <c r="D31" s="414"/>
      <c r="E31" s="414"/>
      <c r="F31" s="414"/>
      <c r="G31" s="414"/>
    </row>
    <row r="32" spans="1:7" x14ac:dyDescent="0.2">
      <c r="B32" s="414"/>
      <c r="C32" s="414"/>
      <c r="D32" s="414"/>
      <c r="E32" s="414"/>
      <c r="F32" s="414"/>
      <c r="G32" s="414"/>
    </row>
    <row r="33" spans="2:7" x14ac:dyDescent="0.2">
      <c r="B33" s="414"/>
      <c r="C33" s="414"/>
      <c r="D33" s="414"/>
      <c r="E33" s="414"/>
      <c r="F33" s="414"/>
      <c r="G33" s="414"/>
    </row>
    <row r="34" spans="2:7" x14ac:dyDescent="0.2">
      <c r="B34" s="414"/>
      <c r="C34" s="414"/>
      <c r="D34" s="414"/>
      <c r="E34" s="414"/>
      <c r="F34" s="414"/>
      <c r="G34" s="414"/>
    </row>
    <row r="35" spans="2:7" x14ac:dyDescent="0.2">
      <c r="B35" s="414"/>
      <c r="C35" s="414"/>
      <c r="D35" s="414"/>
      <c r="E35" s="414"/>
      <c r="F35" s="414"/>
      <c r="G35" s="414"/>
    </row>
    <row r="36" spans="2:7" x14ac:dyDescent="0.2">
      <c r="B36" s="414"/>
      <c r="C36" s="414"/>
      <c r="D36" s="414"/>
      <c r="E36" s="414"/>
      <c r="F36" s="414"/>
      <c r="G36" s="414"/>
    </row>
    <row r="37" spans="2:7" x14ac:dyDescent="0.2">
      <c r="B37" s="414"/>
      <c r="C37" s="414"/>
      <c r="D37" s="414"/>
      <c r="E37" s="414"/>
      <c r="F37" s="414"/>
      <c r="G37" s="414"/>
    </row>
  </sheetData>
  <sheetProtection password="E89C" sheet="1" objects="1" scenarios="1" selectLockedCells="1"/>
  <mergeCells count="15">
    <mergeCell ref="B18:G18"/>
    <mergeCell ref="B19:G19"/>
    <mergeCell ref="B21:G37"/>
    <mergeCell ref="B4:G4"/>
    <mergeCell ref="B5:G5"/>
    <mergeCell ref="B6:G6"/>
    <mergeCell ref="B7:G7"/>
    <mergeCell ref="B8:G8"/>
    <mergeCell ref="B9:G9"/>
    <mergeCell ref="B12:G12"/>
    <mergeCell ref="B13:G13"/>
    <mergeCell ref="B15:G15"/>
    <mergeCell ref="B16:G16"/>
    <mergeCell ref="B17:G17"/>
    <mergeCell ref="B14:G14"/>
  </mergeCells>
  <pageMargins left="0.7" right="0.7" top="0.75" bottom="0.75" header="0.3" footer="0.3"/>
  <pageSetup fitToHeight="0" orientation="portrait" r:id="rId1"/>
  <headerFooter alignWithMargins="0">
    <oddHeader>&amp;LBID-WELL: A TEREX Company
PO Box 97, Canton, SD 57013&amp;CPAVER WHEEL LOAD
WEIGHT CALCULATOR&amp;R&amp;F
KJK 033017</oddHeader>
    <oddFooter>&amp;LTab: &amp;A&amp;CPage &amp;P of &amp;N&amp;RPrinted: &amp;D</oddFooter>
  </headerFooter>
  <rowBreaks count="1" manualBreakCount="1">
    <brk id="1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AH44"/>
  <sheetViews>
    <sheetView zoomScale="70" zoomScaleNormal="70" zoomScaleSheetLayoutView="55" zoomScalePageLayoutView="40" workbookViewId="0">
      <selection activeCell="K16" sqref="K16"/>
    </sheetView>
  </sheetViews>
  <sheetFormatPr defaultRowHeight="15" x14ac:dyDescent="0.25"/>
  <cols>
    <col min="1" max="1" width="7.7109375" customWidth="1"/>
    <col min="2" max="2" width="8.7109375" customWidth="1"/>
    <col min="3" max="3" width="5.7109375" customWidth="1"/>
    <col min="4" max="4" width="8.7109375" customWidth="1"/>
    <col min="5" max="5" width="5.7109375" customWidth="1"/>
    <col min="6" max="7" width="7.7109375" customWidth="1"/>
    <col min="8" max="8" width="8.7109375" customWidth="1"/>
    <col min="9" max="9" width="5.7109375" customWidth="1"/>
    <col min="10" max="10" width="8.7109375" customWidth="1"/>
    <col min="11" max="11" width="5.7109375" customWidth="1"/>
    <col min="12" max="13" width="7.7109375" customWidth="1"/>
    <col min="14" max="14" width="8.7109375" customWidth="1"/>
    <col min="15" max="15" width="5.7109375" customWidth="1"/>
    <col min="16" max="16" width="8.7109375" customWidth="1"/>
    <col min="17" max="17" width="5.7109375" customWidth="1"/>
    <col min="18" max="18" width="8.7109375" customWidth="1"/>
    <col min="19" max="19" width="5.7109375" customWidth="1"/>
    <col min="20" max="20" width="8.7109375" customWidth="1"/>
    <col min="21" max="21" width="5.7109375" customWidth="1"/>
    <col min="22" max="23" width="7.7109375" customWidth="1"/>
    <col min="24" max="24" width="8.7109375" customWidth="1"/>
    <col min="25" max="25" width="5.7109375" customWidth="1"/>
    <col min="26" max="26" width="8.7109375" customWidth="1"/>
    <col min="27" max="27" width="5.7109375" customWidth="1"/>
    <col min="28" max="29" width="7.7109375" customWidth="1"/>
    <col min="30" max="30" width="8.7109375" customWidth="1"/>
    <col min="31" max="31" width="5.7109375" customWidth="1"/>
    <col min="32" max="32" width="8.7109375" customWidth="1"/>
    <col min="33" max="33" width="5.7109375" customWidth="1"/>
  </cols>
  <sheetData>
    <row r="1" spans="1:34" ht="18" x14ac:dyDescent="0.25">
      <c r="A1" s="184" t="s">
        <v>160</v>
      </c>
    </row>
    <row r="3" spans="1:34" ht="16.5" thickBot="1" x14ac:dyDescent="0.3">
      <c r="A3" s="416" t="s">
        <v>172</v>
      </c>
      <c r="B3" s="416"/>
      <c r="C3" s="416"/>
      <c r="D3" s="416"/>
      <c r="E3" s="416"/>
      <c r="F3" s="125"/>
      <c r="G3" s="125"/>
      <c r="H3" s="125"/>
    </row>
    <row r="4" spans="1:34" ht="16.5" thickBot="1" x14ac:dyDescent="0.3">
      <c r="A4" s="90"/>
      <c r="B4" s="91"/>
      <c r="C4" s="91" t="s">
        <v>60</v>
      </c>
      <c r="D4" s="74">
        <f>C25+E25+I25+K25+O25+Q25+S25+U25+Y25+AA25+AE25+AG25+I30+O30+U30+Y30+AA30</f>
        <v>2</v>
      </c>
      <c r="E4" s="75" t="s">
        <v>12</v>
      </c>
      <c r="F4" s="169"/>
      <c r="G4" s="81"/>
      <c r="H4" s="81"/>
      <c r="L4" s="439" t="s">
        <v>162</v>
      </c>
      <c r="M4" s="440"/>
      <c r="N4" s="441"/>
    </row>
    <row r="5" spans="1:34" ht="15.75" x14ac:dyDescent="0.25">
      <c r="A5" s="92"/>
      <c r="B5" s="88"/>
      <c r="C5" s="88" t="s">
        <v>61</v>
      </c>
      <c r="D5" s="76">
        <f>($A12*C12)+($A13*C13)+($A14*C14)+($A15*C15)+($A16*C16)+($A17*C17)+($A18*C18)+($A19*C19)+($A20*C20)+($A21*C21)+($A22*C22)+($A23*C23)+($A24*C24)+($A12*E12)+($A13*E13)+($A14*E14)+($A15*E15)+($A16*E16)+($A17*E17)+($A18*E18)+($A19*E19)+($A20*E20)+($A21*E21)+($A22*E22)+($A23*E23)+($A24*E24)+(A12*I12)+(A13*I13)+(A14*I14)+(A15*I15)+(A16*I16)+(A17*I17)+(A18*I18)+(A19*I19)+(A20*I20)+(A21*I21)+(A22*I22)+(A23*I23)+(A24*I24)+($A12*K12)+($A13*K13)+($A14*K14)+($A15*K15)+($A16*K16)+($A17*K17)+($A18*K18)+($A19*K19)+($A20*K20)+($A21*K21)+($A22*K22)+($A23*K23)+($A24*K24)+($A12*O12)+($A13*O13)+($A14*O14)+($A15*O15)+($A16*O16)+($A17*O17)+($A18*O18)+($A19*O19)+($A20*O20)+($A21*O21)+($A22*O22)+($A23*O23)+($A24*O24)+($A12*Q12)+($A13*Q13)+($A14*Q14)+($A15*Q15)+($A16*Q16)+($A17*Q17)+($A18*Q18)+($A19*Q19)+($A20*Q20)+($A21*Q21)+($A22*Q22)+($A23*Q23)+($A24*Q24)+($A12*S12)+($A13*S13)+($A14*S14)+($A15*S15)+($A16*S16)+($A17*S17)+($A18*S18)+($A19*S19)+($A20*S20)+($A21*S21)+($A22*S22)+($A23*S23)+($A24*S24)+($A12*U12)+($A13*U13)+($A14*U14)+($A15*U15)+($A16*U16)+($A17*U17)+($A18*U18)+($A19*U19)+($A20*U20)+($A21*U21)+($A22*U22)+($A23*U23)+($A24*U24)+($A12*Y12)+($A13*Y13)+($A14*Y14)+($A15*Y15)+($A16*Y16)+($A17*Y17)+($A18*Y18)+($A19*Y19)+($A20*Y20)+($A21*Y21)+($A22*Y22)+($A23*Y23)+($A24*Y24)+($A12*AA12)+($A13*AA13)+($A14*AA14)+($A15*AA15)+($A16*AA16)+($A17*AA17)+($A18*AA18)+($A19*AA19)+($A20*AA20)+($A21*AA21)+($A22*AA22)+($A23*AA23)+($A24*AA24)+($A12*AE12)+($A13*AE13)+($A14*AE14)+($A15*AE15)+($A16*AE16)+($A17*AE17)+($A18*AE18)+($A19*AE19)+($A20*AE20)+($A21*AE21)+($A22*AE22)+($A23*AE23)+($A24*AE24)+($A12*AG12)+($A13*AG13)+($A14*AG14)+($A15*AG15)+($A16*AG16)+($A17*AG17)+($A18*AG18)+($A19*AG19)+($A20*AG20)+($A21*AG21)+($A22*AG22)+($A23*AG23)+($A24*AG24)+($G28*I28)+($G29*I29)+($G28*O28)+($G29*O29)+($G28*U28)+($G29*U29)+($G28*Y28)+($G29*Y29)+($G28*AA28)+($G29*AA29)</f>
        <v>24</v>
      </c>
      <c r="E5" s="77" t="s">
        <v>9</v>
      </c>
    </row>
    <row r="6" spans="1:34" ht="16.5" thickBot="1" x14ac:dyDescent="0.3">
      <c r="A6" s="93"/>
      <c r="B6" s="94"/>
      <c r="C6" s="94" t="s">
        <v>69</v>
      </c>
      <c r="D6" s="78">
        <f>B25+D25+H25+J25+N25+P25+R25+T25+X25+Z25+AD25+AF25+H30+N30+T30+X30+Z30+P38+F42</f>
        <v>1480</v>
      </c>
      <c r="E6" s="79" t="s">
        <v>0</v>
      </c>
      <c r="F6" s="388"/>
      <c r="AB6" s="388"/>
    </row>
    <row r="7" spans="1:34" ht="12.75" customHeight="1" x14ac:dyDescent="0.25">
      <c r="F7" s="388"/>
      <c r="V7" s="388"/>
      <c r="AB7" s="388"/>
    </row>
    <row r="8" spans="1:34" ht="15.75" thickBot="1" x14ac:dyDescent="0.3">
      <c r="F8" s="388"/>
      <c r="I8" s="80"/>
      <c r="J8" s="102"/>
      <c r="K8" s="102"/>
      <c r="L8" s="388"/>
      <c r="V8" s="388"/>
      <c r="AB8" s="388"/>
    </row>
    <row r="9" spans="1:34" ht="16.5" customHeight="1" thickBot="1" x14ac:dyDescent="0.35">
      <c r="A9" s="424" t="s">
        <v>205</v>
      </c>
      <c r="B9" s="425"/>
      <c r="C9" s="425"/>
      <c r="D9" s="425"/>
      <c r="E9" s="426"/>
      <c r="F9" s="389"/>
      <c r="G9" s="424" t="s">
        <v>206</v>
      </c>
      <c r="H9" s="425"/>
      <c r="I9" s="425"/>
      <c r="J9" s="425"/>
      <c r="K9" s="426"/>
      <c r="L9" s="400"/>
      <c r="M9" s="424" t="s">
        <v>207</v>
      </c>
      <c r="N9" s="425"/>
      <c r="O9" s="425"/>
      <c r="P9" s="425"/>
      <c r="Q9" s="425"/>
      <c r="R9" s="425"/>
      <c r="S9" s="425"/>
      <c r="T9" s="425"/>
      <c r="U9" s="426"/>
      <c r="V9" s="389"/>
      <c r="W9" s="424" t="s">
        <v>208</v>
      </c>
      <c r="X9" s="425"/>
      <c r="Y9" s="425"/>
      <c r="Z9" s="425"/>
      <c r="AA9" s="426"/>
      <c r="AB9" s="388"/>
      <c r="AC9" s="424" t="s">
        <v>209</v>
      </c>
      <c r="AD9" s="425"/>
      <c r="AE9" s="425"/>
      <c r="AF9" s="425"/>
      <c r="AG9" s="426"/>
      <c r="AH9" s="81"/>
    </row>
    <row r="10" spans="1:34" ht="30.75" customHeight="1" x14ac:dyDescent="0.25">
      <c r="A10" s="429" t="s">
        <v>201</v>
      </c>
      <c r="B10" s="427" t="s">
        <v>198</v>
      </c>
      <c r="C10" s="427"/>
      <c r="D10" s="427" t="s">
        <v>197</v>
      </c>
      <c r="E10" s="428"/>
      <c r="F10" s="390"/>
      <c r="G10" s="429" t="s">
        <v>201</v>
      </c>
      <c r="H10" s="427" t="s">
        <v>198</v>
      </c>
      <c r="I10" s="427"/>
      <c r="J10" s="427" t="s">
        <v>197</v>
      </c>
      <c r="K10" s="428"/>
      <c r="L10" s="390"/>
      <c r="M10" s="429" t="s">
        <v>201</v>
      </c>
      <c r="N10" s="427" t="s">
        <v>198</v>
      </c>
      <c r="O10" s="427"/>
      <c r="P10" s="427" t="s">
        <v>197</v>
      </c>
      <c r="Q10" s="427"/>
      <c r="R10" s="427" t="s">
        <v>199</v>
      </c>
      <c r="S10" s="427"/>
      <c r="T10" s="427" t="s">
        <v>200</v>
      </c>
      <c r="U10" s="428"/>
      <c r="V10" s="390"/>
      <c r="W10" s="429" t="s">
        <v>201</v>
      </c>
      <c r="X10" s="431" t="s">
        <v>203</v>
      </c>
      <c r="Y10" s="431"/>
      <c r="Z10" s="431" t="s">
        <v>204</v>
      </c>
      <c r="AA10" s="432"/>
      <c r="AB10" s="401"/>
      <c r="AC10" s="429" t="s">
        <v>201</v>
      </c>
      <c r="AD10" s="431" t="s">
        <v>199</v>
      </c>
      <c r="AE10" s="431"/>
      <c r="AF10" s="431" t="s">
        <v>200</v>
      </c>
      <c r="AG10" s="432"/>
      <c r="AH10" s="166"/>
    </row>
    <row r="11" spans="1:34" ht="32.25" customHeight="1" x14ac:dyDescent="0.25">
      <c r="A11" s="430"/>
      <c r="B11" s="171" t="s">
        <v>2</v>
      </c>
      <c r="C11" s="171" t="s">
        <v>3</v>
      </c>
      <c r="D11" s="171" t="s">
        <v>2</v>
      </c>
      <c r="E11" s="172" t="s">
        <v>3</v>
      </c>
      <c r="F11" s="391"/>
      <c r="G11" s="430"/>
      <c r="H11" s="171" t="s">
        <v>2</v>
      </c>
      <c r="I11" s="171" t="s">
        <v>3</v>
      </c>
      <c r="J11" s="171" t="s">
        <v>2</v>
      </c>
      <c r="K11" s="172" t="s">
        <v>3</v>
      </c>
      <c r="L11" s="391"/>
      <c r="M11" s="430"/>
      <c r="N11" s="171" t="s">
        <v>2</v>
      </c>
      <c r="O11" s="171" t="s">
        <v>3</v>
      </c>
      <c r="P11" s="171" t="s">
        <v>2</v>
      </c>
      <c r="Q11" s="171" t="s">
        <v>3</v>
      </c>
      <c r="R11" s="171" t="s">
        <v>2</v>
      </c>
      <c r="S11" s="171" t="s">
        <v>3</v>
      </c>
      <c r="T11" s="171" t="s">
        <v>2</v>
      </c>
      <c r="U11" s="172" t="s">
        <v>3</v>
      </c>
      <c r="V11" s="391"/>
      <c r="W11" s="430"/>
      <c r="X11" s="171" t="s">
        <v>2</v>
      </c>
      <c r="Y11" s="171" t="s">
        <v>3</v>
      </c>
      <c r="Z11" s="171" t="s">
        <v>2</v>
      </c>
      <c r="AA11" s="172" t="s">
        <v>3</v>
      </c>
      <c r="AB11" s="391"/>
      <c r="AC11" s="430"/>
      <c r="AD11" s="171" t="s">
        <v>2</v>
      </c>
      <c r="AE11" s="171" t="s">
        <v>3</v>
      </c>
      <c r="AF11" s="171" t="s">
        <v>2</v>
      </c>
      <c r="AG11" s="172" t="s">
        <v>3</v>
      </c>
      <c r="AH11" s="167"/>
    </row>
    <row r="12" spans="1:34" ht="15.75" x14ac:dyDescent="0.25">
      <c r="A12" s="198">
        <v>24</v>
      </c>
      <c r="B12" s="308"/>
      <c r="C12" s="308"/>
      <c r="D12" s="308"/>
      <c r="E12" s="309"/>
      <c r="F12" s="392"/>
      <c r="G12" s="198">
        <v>24</v>
      </c>
      <c r="H12" s="207">
        <v>1731</v>
      </c>
      <c r="I12" s="208"/>
      <c r="J12" s="207">
        <v>1510</v>
      </c>
      <c r="K12" s="209"/>
      <c r="L12" s="392"/>
      <c r="M12" s="198">
        <v>24</v>
      </c>
      <c r="N12" s="207">
        <v>1871</v>
      </c>
      <c r="O12" s="208"/>
      <c r="P12" s="207">
        <v>1761</v>
      </c>
      <c r="Q12" s="208"/>
      <c r="R12" s="207"/>
      <c r="S12" s="210"/>
      <c r="T12" s="207"/>
      <c r="U12" s="211"/>
      <c r="V12" s="392"/>
      <c r="W12" s="198">
        <v>24</v>
      </c>
      <c r="X12" s="207">
        <v>1943</v>
      </c>
      <c r="Y12" s="208"/>
      <c r="Z12" s="207">
        <v>1833</v>
      </c>
      <c r="AA12" s="209"/>
      <c r="AB12" s="392"/>
      <c r="AC12" s="198">
        <v>24</v>
      </c>
      <c r="AD12" s="207"/>
      <c r="AE12" s="210"/>
      <c r="AF12" s="207"/>
      <c r="AG12" s="211"/>
      <c r="AH12" s="168"/>
    </row>
    <row r="13" spans="1:34" ht="15.75" x14ac:dyDescent="0.25">
      <c r="A13" s="199">
        <v>18</v>
      </c>
      <c r="B13" s="200">
        <v>861</v>
      </c>
      <c r="C13" s="201"/>
      <c r="D13" s="200">
        <v>781</v>
      </c>
      <c r="E13" s="202"/>
      <c r="F13" s="392"/>
      <c r="G13" s="199">
        <v>18</v>
      </c>
      <c r="H13" s="200">
        <v>1023</v>
      </c>
      <c r="I13" s="201"/>
      <c r="J13" s="200">
        <v>889</v>
      </c>
      <c r="K13" s="202"/>
      <c r="L13" s="392"/>
      <c r="M13" s="199">
        <v>18</v>
      </c>
      <c r="N13" s="200">
        <v>1270</v>
      </c>
      <c r="O13" s="201">
        <v>0</v>
      </c>
      <c r="P13" s="200">
        <v>1107</v>
      </c>
      <c r="Q13" s="201"/>
      <c r="R13" s="200">
        <v>1401</v>
      </c>
      <c r="S13" s="201"/>
      <c r="T13" s="200">
        <v>1401</v>
      </c>
      <c r="U13" s="202"/>
      <c r="V13" s="392"/>
      <c r="W13" s="199">
        <v>18</v>
      </c>
      <c r="X13" s="200">
        <v>1324</v>
      </c>
      <c r="Y13" s="201"/>
      <c r="Z13" s="200">
        <v>1161</v>
      </c>
      <c r="AA13" s="202"/>
      <c r="AB13" s="392"/>
      <c r="AC13" s="199">
        <v>18</v>
      </c>
      <c r="AD13" s="200">
        <v>1455</v>
      </c>
      <c r="AE13" s="201"/>
      <c r="AF13" s="200">
        <v>1455</v>
      </c>
      <c r="AG13" s="202"/>
      <c r="AH13" s="168"/>
    </row>
    <row r="14" spans="1:34" ht="15.75" x14ac:dyDescent="0.25">
      <c r="A14" s="199">
        <v>15</v>
      </c>
      <c r="B14" s="200">
        <v>719</v>
      </c>
      <c r="C14" s="201">
        <v>0</v>
      </c>
      <c r="D14" s="200">
        <v>610</v>
      </c>
      <c r="E14" s="202"/>
      <c r="F14" s="392"/>
      <c r="G14" s="199">
        <v>15</v>
      </c>
      <c r="H14" s="200">
        <v>868</v>
      </c>
      <c r="I14" s="201"/>
      <c r="J14" s="200">
        <v>732</v>
      </c>
      <c r="K14" s="202"/>
      <c r="L14" s="392"/>
      <c r="M14" s="199">
        <v>15</v>
      </c>
      <c r="N14" s="200">
        <v>1131</v>
      </c>
      <c r="O14" s="201"/>
      <c r="P14" s="200">
        <v>995</v>
      </c>
      <c r="Q14" s="201"/>
      <c r="R14" s="200">
        <v>1281</v>
      </c>
      <c r="S14" s="201"/>
      <c r="T14" s="200">
        <v>1230</v>
      </c>
      <c r="U14" s="202"/>
      <c r="V14" s="392"/>
      <c r="W14" s="199">
        <v>15</v>
      </c>
      <c r="X14" s="200">
        <v>1176</v>
      </c>
      <c r="Y14" s="201"/>
      <c r="Z14" s="200">
        <v>1040</v>
      </c>
      <c r="AA14" s="202"/>
      <c r="AB14" s="392"/>
      <c r="AC14" s="199">
        <v>15</v>
      </c>
      <c r="AD14" s="200">
        <v>1326</v>
      </c>
      <c r="AE14" s="201"/>
      <c r="AF14" s="200">
        <v>1275</v>
      </c>
      <c r="AG14" s="202"/>
      <c r="AH14" s="168"/>
    </row>
    <row r="15" spans="1:34" ht="15.75" x14ac:dyDescent="0.25">
      <c r="A15" s="199">
        <v>12</v>
      </c>
      <c r="B15" s="200">
        <v>603</v>
      </c>
      <c r="C15" s="201"/>
      <c r="D15" s="200">
        <v>515</v>
      </c>
      <c r="E15" s="202">
        <v>0</v>
      </c>
      <c r="F15" s="392"/>
      <c r="G15" s="199">
        <v>12</v>
      </c>
      <c r="H15" s="200">
        <v>736</v>
      </c>
      <c r="I15" s="201"/>
      <c r="J15" s="200">
        <v>620</v>
      </c>
      <c r="K15" s="202">
        <v>2</v>
      </c>
      <c r="L15" s="392"/>
      <c r="M15" s="199">
        <v>12</v>
      </c>
      <c r="N15" s="200">
        <v>929</v>
      </c>
      <c r="O15" s="201"/>
      <c r="P15" s="200">
        <v>820</v>
      </c>
      <c r="Q15" s="201"/>
      <c r="R15" s="200">
        <v>1051</v>
      </c>
      <c r="S15" s="201">
        <v>0</v>
      </c>
      <c r="T15" s="200">
        <v>1051</v>
      </c>
      <c r="U15" s="202"/>
      <c r="V15" s="392"/>
      <c r="W15" s="199">
        <v>12</v>
      </c>
      <c r="X15" s="200">
        <v>965</v>
      </c>
      <c r="Y15" s="201"/>
      <c r="Z15" s="200">
        <v>856</v>
      </c>
      <c r="AA15" s="202"/>
      <c r="AB15" s="392"/>
      <c r="AC15" s="199">
        <v>12</v>
      </c>
      <c r="AD15" s="200">
        <v>1087</v>
      </c>
      <c r="AE15" s="201"/>
      <c r="AF15" s="200">
        <v>1087</v>
      </c>
      <c r="AG15" s="202"/>
      <c r="AH15" s="168"/>
    </row>
    <row r="16" spans="1:34" ht="15.75" x14ac:dyDescent="0.25">
      <c r="A16" s="199">
        <v>10</v>
      </c>
      <c r="B16" s="310"/>
      <c r="C16" s="310"/>
      <c r="D16" s="310"/>
      <c r="E16" s="311"/>
      <c r="F16" s="392"/>
      <c r="G16" s="199">
        <v>10</v>
      </c>
      <c r="H16" s="200">
        <v>681</v>
      </c>
      <c r="I16" s="201"/>
      <c r="J16" s="200">
        <v>591</v>
      </c>
      <c r="K16" s="202"/>
      <c r="L16" s="392"/>
      <c r="M16" s="199">
        <v>10</v>
      </c>
      <c r="N16" s="200">
        <v>841</v>
      </c>
      <c r="O16" s="201"/>
      <c r="P16" s="200">
        <v>751</v>
      </c>
      <c r="Q16" s="201"/>
      <c r="R16" s="315"/>
      <c r="S16" s="316"/>
      <c r="T16" s="316"/>
      <c r="U16" s="299"/>
      <c r="V16" s="392"/>
      <c r="W16" s="199">
        <v>10</v>
      </c>
      <c r="X16" s="200">
        <v>871</v>
      </c>
      <c r="Y16" s="201"/>
      <c r="Z16" s="200">
        <v>781</v>
      </c>
      <c r="AA16" s="202"/>
      <c r="AB16" s="392"/>
      <c r="AC16" s="318">
        <v>10</v>
      </c>
      <c r="AD16" s="316"/>
      <c r="AE16" s="316"/>
      <c r="AF16" s="316"/>
      <c r="AG16" s="299"/>
      <c r="AH16" s="168"/>
    </row>
    <row r="17" spans="1:34" ht="15.75" x14ac:dyDescent="0.25">
      <c r="A17" s="199">
        <v>9</v>
      </c>
      <c r="B17" s="200">
        <v>481</v>
      </c>
      <c r="C17" s="201"/>
      <c r="D17" s="200">
        <v>421</v>
      </c>
      <c r="E17" s="202">
        <v>0</v>
      </c>
      <c r="F17" s="392"/>
      <c r="G17" s="199">
        <v>9</v>
      </c>
      <c r="H17" s="200">
        <v>631</v>
      </c>
      <c r="I17" s="201"/>
      <c r="J17" s="200">
        <v>561</v>
      </c>
      <c r="K17" s="202"/>
      <c r="L17" s="392"/>
      <c r="M17" s="199">
        <v>9</v>
      </c>
      <c r="N17" s="200">
        <v>761</v>
      </c>
      <c r="O17" s="201"/>
      <c r="P17" s="200">
        <v>681</v>
      </c>
      <c r="Q17" s="201"/>
      <c r="R17" s="317"/>
      <c r="S17" s="317"/>
      <c r="T17" s="317"/>
      <c r="U17" s="305"/>
      <c r="V17" s="392"/>
      <c r="W17" s="199">
        <v>9</v>
      </c>
      <c r="X17" s="200">
        <v>788</v>
      </c>
      <c r="Y17" s="201"/>
      <c r="Z17" s="200">
        <v>708</v>
      </c>
      <c r="AA17" s="202"/>
      <c r="AB17" s="392"/>
      <c r="AC17" s="319">
        <v>9</v>
      </c>
      <c r="AD17" s="317"/>
      <c r="AE17" s="317"/>
      <c r="AF17" s="317"/>
      <c r="AG17" s="305"/>
      <c r="AH17" s="168"/>
    </row>
    <row r="18" spans="1:34" ht="15.75" x14ac:dyDescent="0.25">
      <c r="A18" s="199">
        <v>8</v>
      </c>
      <c r="B18" s="200">
        <v>419</v>
      </c>
      <c r="C18" s="201"/>
      <c r="D18" s="200">
        <v>359</v>
      </c>
      <c r="E18" s="202"/>
      <c r="F18" s="392"/>
      <c r="G18" s="199">
        <v>8</v>
      </c>
      <c r="H18" s="200">
        <v>502</v>
      </c>
      <c r="I18" s="201"/>
      <c r="J18" s="200">
        <v>454</v>
      </c>
      <c r="K18" s="202"/>
      <c r="L18" s="392"/>
      <c r="M18" s="199">
        <v>8</v>
      </c>
      <c r="N18" s="200">
        <v>709</v>
      </c>
      <c r="O18" s="201"/>
      <c r="P18" s="200">
        <v>685</v>
      </c>
      <c r="Q18" s="201"/>
      <c r="R18" s="200">
        <v>771</v>
      </c>
      <c r="S18" s="201"/>
      <c r="T18" s="212">
        <v>771</v>
      </c>
      <c r="U18" s="202"/>
      <c r="V18" s="392"/>
      <c r="W18" s="199">
        <v>8</v>
      </c>
      <c r="X18" s="212">
        <v>709</v>
      </c>
      <c r="Y18" s="201"/>
      <c r="Z18" s="200">
        <v>672</v>
      </c>
      <c r="AA18" s="202"/>
      <c r="AB18" s="392"/>
      <c r="AC18" s="199">
        <v>8</v>
      </c>
      <c r="AD18" s="212">
        <v>795</v>
      </c>
      <c r="AE18" s="201"/>
      <c r="AF18" s="200">
        <v>795</v>
      </c>
      <c r="AG18" s="202"/>
      <c r="AH18" s="168"/>
    </row>
    <row r="19" spans="1:34" ht="15.75" x14ac:dyDescent="0.25">
      <c r="A19" s="199">
        <v>6</v>
      </c>
      <c r="B19" s="200">
        <v>362</v>
      </c>
      <c r="C19" s="201"/>
      <c r="D19" s="200">
        <v>321</v>
      </c>
      <c r="E19" s="202"/>
      <c r="F19" s="392"/>
      <c r="G19" s="199">
        <v>6</v>
      </c>
      <c r="H19" s="200">
        <v>432</v>
      </c>
      <c r="I19" s="201"/>
      <c r="J19" s="200">
        <v>384</v>
      </c>
      <c r="K19" s="202"/>
      <c r="L19" s="392"/>
      <c r="M19" s="199">
        <v>6</v>
      </c>
      <c r="N19" s="200">
        <v>547</v>
      </c>
      <c r="O19" s="201"/>
      <c r="P19" s="200">
        <v>495</v>
      </c>
      <c r="Q19" s="201"/>
      <c r="R19" s="200">
        <v>651</v>
      </c>
      <c r="S19" s="201"/>
      <c r="T19" s="212">
        <v>651</v>
      </c>
      <c r="U19" s="202"/>
      <c r="V19" s="392"/>
      <c r="W19" s="199">
        <v>6</v>
      </c>
      <c r="X19" s="212">
        <v>565</v>
      </c>
      <c r="Y19" s="201"/>
      <c r="Z19" s="200">
        <v>513</v>
      </c>
      <c r="AA19" s="202"/>
      <c r="AB19" s="392"/>
      <c r="AC19" s="199">
        <v>6</v>
      </c>
      <c r="AD19" s="212">
        <v>669</v>
      </c>
      <c r="AE19" s="201"/>
      <c r="AF19" s="200">
        <v>669</v>
      </c>
      <c r="AG19" s="202"/>
      <c r="AH19" s="168"/>
    </row>
    <row r="20" spans="1:34" ht="15.75" x14ac:dyDescent="0.25">
      <c r="A20" s="199">
        <v>4</v>
      </c>
      <c r="B20" s="200">
        <v>286</v>
      </c>
      <c r="C20" s="201"/>
      <c r="D20" s="200">
        <v>260</v>
      </c>
      <c r="E20" s="202"/>
      <c r="F20" s="392"/>
      <c r="G20" s="199">
        <v>4</v>
      </c>
      <c r="H20" s="200">
        <v>363</v>
      </c>
      <c r="I20" s="201"/>
      <c r="J20" s="200">
        <v>325</v>
      </c>
      <c r="K20" s="202"/>
      <c r="L20" s="392"/>
      <c r="M20" s="199">
        <v>4</v>
      </c>
      <c r="N20" s="200">
        <v>460</v>
      </c>
      <c r="O20" s="201"/>
      <c r="P20" s="200">
        <v>422</v>
      </c>
      <c r="Q20" s="201"/>
      <c r="R20" s="200">
        <v>561</v>
      </c>
      <c r="S20" s="201"/>
      <c r="T20" s="200">
        <v>561</v>
      </c>
      <c r="U20" s="202"/>
      <c r="V20" s="392"/>
      <c r="W20" s="199">
        <v>4</v>
      </c>
      <c r="X20" s="200">
        <v>472</v>
      </c>
      <c r="Y20" s="201"/>
      <c r="Z20" s="200">
        <v>434</v>
      </c>
      <c r="AA20" s="202"/>
      <c r="AB20" s="392"/>
      <c r="AC20" s="199">
        <v>4</v>
      </c>
      <c r="AD20" s="200">
        <v>573</v>
      </c>
      <c r="AE20" s="201"/>
      <c r="AF20" s="200">
        <v>573</v>
      </c>
      <c r="AG20" s="202"/>
      <c r="AH20" s="168"/>
    </row>
    <row r="21" spans="1:34" ht="15.75" x14ac:dyDescent="0.25">
      <c r="A21" s="199">
        <v>3</v>
      </c>
      <c r="B21" s="200">
        <v>246</v>
      </c>
      <c r="C21" s="201"/>
      <c r="D21" s="200">
        <v>226</v>
      </c>
      <c r="E21" s="202"/>
      <c r="F21" s="392"/>
      <c r="G21" s="199">
        <v>3</v>
      </c>
      <c r="H21" s="200">
        <v>292</v>
      </c>
      <c r="I21" s="201"/>
      <c r="J21" s="200">
        <v>278</v>
      </c>
      <c r="K21" s="202"/>
      <c r="L21" s="392"/>
      <c r="M21" s="199">
        <v>3</v>
      </c>
      <c r="N21" s="200">
        <v>374</v>
      </c>
      <c r="O21" s="201"/>
      <c r="P21" s="200">
        <v>354</v>
      </c>
      <c r="Q21" s="201"/>
      <c r="R21" s="200">
        <v>431</v>
      </c>
      <c r="S21" s="201"/>
      <c r="T21" s="200">
        <v>431</v>
      </c>
      <c r="U21" s="202"/>
      <c r="V21" s="392"/>
      <c r="W21" s="199">
        <v>3</v>
      </c>
      <c r="X21" s="200">
        <v>383</v>
      </c>
      <c r="Y21" s="201"/>
      <c r="Z21" s="200">
        <v>363</v>
      </c>
      <c r="AA21" s="202"/>
      <c r="AB21" s="392"/>
      <c r="AC21" s="199">
        <v>3</v>
      </c>
      <c r="AD21" s="200">
        <v>440</v>
      </c>
      <c r="AE21" s="201"/>
      <c r="AF21" s="200">
        <v>440</v>
      </c>
      <c r="AG21" s="202"/>
      <c r="AH21" s="168"/>
    </row>
    <row r="22" spans="1:34" ht="15.75" x14ac:dyDescent="0.25">
      <c r="A22" s="199">
        <v>2</v>
      </c>
      <c r="B22" s="200">
        <v>221</v>
      </c>
      <c r="C22" s="201"/>
      <c r="D22" s="200">
        <v>201</v>
      </c>
      <c r="E22" s="202"/>
      <c r="F22" s="392"/>
      <c r="G22" s="199">
        <v>2</v>
      </c>
      <c r="H22" s="200">
        <v>230</v>
      </c>
      <c r="I22" s="201"/>
      <c r="J22" s="200">
        <v>221</v>
      </c>
      <c r="K22" s="202"/>
      <c r="L22" s="392"/>
      <c r="M22" s="199">
        <v>2</v>
      </c>
      <c r="N22" s="200">
        <v>290</v>
      </c>
      <c r="O22" s="201"/>
      <c r="P22" s="200">
        <v>281</v>
      </c>
      <c r="Q22" s="201"/>
      <c r="R22" s="200">
        <v>361</v>
      </c>
      <c r="S22" s="201"/>
      <c r="T22" s="200">
        <v>361</v>
      </c>
      <c r="U22" s="202"/>
      <c r="V22" s="392"/>
      <c r="W22" s="199">
        <v>2</v>
      </c>
      <c r="X22" s="200">
        <v>307</v>
      </c>
      <c r="Y22" s="201"/>
      <c r="Z22" s="200">
        <v>287</v>
      </c>
      <c r="AA22" s="202"/>
      <c r="AB22" s="392"/>
      <c r="AC22" s="199">
        <v>2</v>
      </c>
      <c r="AD22" s="200">
        <v>367</v>
      </c>
      <c r="AE22" s="201"/>
      <c r="AF22" s="200">
        <v>367</v>
      </c>
      <c r="AG22" s="202"/>
      <c r="AH22" s="168"/>
    </row>
    <row r="23" spans="1:34" ht="15.75" x14ac:dyDescent="0.25">
      <c r="A23" s="199">
        <v>1.5</v>
      </c>
      <c r="B23" s="312"/>
      <c r="C23" s="310"/>
      <c r="D23" s="310"/>
      <c r="E23" s="311"/>
      <c r="F23" s="392"/>
      <c r="G23" s="199">
        <v>1.5</v>
      </c>
      <c r="H23" s="312"/>
      <c r="I23" s="310"/>
      <c r="J23" s="310"/>
      <c r="K23" s="311"/>
      <c r="L23" s="392"/>
      <c r="M23" s="199">
        <v>1.5</v>
      </c>
      <c r="N23" s="310"/>
      <c r="O23" s="310"/>
      <c r="P23" s="310"/>
      <c r="Q23" s="310"/>
      <c r="R23" s="200">
        <v>301</v>
      </c>
      <c r="S23" s="201"/>
      <c r="T23" s="200">
        <v>301</v>
      </c>
      <c r="U23" s="202"/>
      <c r="V23" s="392"/>
      <c r="W23" s="199">
        <v>1.5</v>
      </c>
      <c r="X23" s="310"/>
      <c r="Y23" s="310"/>
      <c r="Z23" s="310"/>
      <c r="AA23" s="311"/>
      <c r="AB23" s="392"/>
      <c r="AC23" s="199">
        <v>1.5</v>
      </c>
      <c r="AD23" s="200">
        <v>306</v>
      </c>
      <c r="AE23" s="201"/>
      <c r="AF23" s="200">
        <v>306</v>
      </c>
      <c r="AG23" s="202"/>
      <c r="AH23" s="168"/>
    </row>
    <row r="24" spans="1:34" ht="15.75" x14ac:dyDescent="0.25">
      <c r="A24" s="203">
        <v>1</v>
      </c>
      <c r="B24" s="204">
        <v>191</v>
      </c>
      <c r="C24" s="205"/>
      <c r="D24" s="204">
        <v>171</v>
      </c>
      <c r="E24" s="206"/>
      <c r="F24" s="392"/>
      <c r="G24" s="203">
        <v>1</v>
      </c>
      <c r="H24" s="204">
        <v>183</v>
      </c>
      <c r="I24" s="205"/>
      <c r="J24" s="204">
        <v>177</v>
      </c>
      <c r="K24" s="206"/>
      <c r="L24" s="392"/>
      <c r="M24" s="203">
        <v>1</v>
      </c>
      <c r="N24" s="204">
        <v>199</v>
      </c>
      <c r="O24" s="205"/>
      <c r="P24" s="204">
        <v>185</v>
      </c>
      <c r="Q24" s="205"/>
      <c r="R24" s="313"/>
      <c r="S24" s="313"/>
      <c r="T24" s="313"/>
      <c r="U24" s="314"/>
      <c r="V24" s="392"/>
      <c r="W24" s="203">
        <v>1</v>
      </c>
      <c r="X24" s="204">
        <v>198</v>
      </c>
      <c r="Y24" s="205"/>
      <c r="Z24" s="204">
        <v>188</v>
      </c>
      <c r="AA24" s="206"/>
      <c r="AB24" s="392"/>
      <c r="AC24" s="203">
        <v>1</v>
      </c>
      <c r="AD24" s="313"/>
      <c r="AE24" s="313"/>
      <c r="AF24" s="313"/>
      <c r="AG24" s="314"/>
      <c r="AH24" s="168"/>
    </row>
    <row r="25" spans="1:34" ht="30" x14ac:dyDescent="0.25">
      <c r="A25" s="173" t="s">
        <v>161</v>
      </c>
      <c r="B25" s="174">
        <f>(B12*C12)+(B13*C13)+(B14*C14)+(B15*C15)+(B16*C16)+(B17*C17)+(B18*C18)+(B19*C19)+(B20*C20)+(B21*C21)+(B22*C22)+(B23*C23)+(B24*C24)</f>
        <v>0</v>
      </c>
      <c r="C25" s="174">
        <f>SUM(C12:C24)</f>
        <v>0</v>
      </c>
      <c r="D25" s="174">
        <f>(D12*E12)+(D13*E13)+(D14*E14)+(D15*E15)+(D16*E16)+(D17*E17)+(D18*E18)+(D19*E19)+(D20*E20)+(D21*E21)+(D22*E22)+(D23*E23)+(D24*E24)</f>
        <v>0</v>
      </c>
      <c r="E25" s="175">
        <f>SUM(E12:E24)</f>
        <v>0</v>
      </c>
      <c r="F25" s="393"/>
      <c r="G25" s="173" t="s">
        <v>161</v>
      </c>
      <c r="H25" s="174">
        <f>(H12*I12)+(H13*I13)+(H14*I14)+(H15*I15)+(H16*I16)+(H17*I17)+(H18*I18)+(H19*I19)+(H20*I20)+(H21*I21)+(H22*I22)+(H23*I23)+(H24*I24)</f>
        <v>0</v>
      </c>
      <c r="I25" s="174">
        <f>SUM(I12:I24)</f>
        <v>0</v>
      </c>
      <c r="J25" s="174">
        <f>(J12*K12)+(J13*K13)+(J14*K14)+(J15*K15)+(J16*K16)+(J17*K17)+(J18*K18)+(J19*K19)+(J20*K20)+(J21*K21)+(J22*K22)+(J23*K23)+(J24*K24)</f>
        <v>1240</v>
      </c>
      <c r="K25" s="175">
        <f>SUM(K12:K24)</f>
        <v>2</v>
      </c>
      <c r="L25" s="393"/>
      <c r="M25" s="173" t="s">
        <v>161</v>
      </c>
      <c r="N25" s="174">
        <f>(N12*O12)+(N13*O13)+(N14*O14)+(N15*O15)+(N16*O16)+(N17*O17)+(N18*O18)+(N19*O19)+(N20*O20)+(N21*O21)+(N22*O22)+(N23*O23)+(N24*O24)</f>
        <v>0</v>
      </c>
      <c r="O25" s="174">
        <f>SUM(O12:O24)</f>
        <v>0</v>
      </c>
      <c r="P25" s="174">
        <f>(P12*Q12)+(P13*Q13)+(P14*Q14)+(P15*Q15)+(P16*Q16)+(P17*Q17)+(P18*Q18)+(P19*Q19)+(P20*Q20)+(P21*Q21)+(P22*Q22)+(P23*Q23)+(P24*Q24)</f>
        <v>0</v>
      </c>
      <c r="Q25" s="174">
        <f>SUM(Q12:Q24)</f>
        <v>0</v>
      </c>
      <c r="R25" s="174">
        <f>(R12*S12)+(R13*S13)+(R14*S14)+(R15*S15)+(R16*S16)+(R17*S17)+(R18*S18)+(R19*S19)+(R20*S20)+(R21*S21)+(R22*S22)+(R23*S23)+(R24*S24)</f>
        <v>0</v>
      </c>
      <c r="S25" s="174">
        <f>SUM(S12:S24)</f>
        <v>0</v>
      </c>
      <c r="T25" s="174">
        <f>(T12*U12)+(T13*U13)+(T14*U14)+(T15*U15)+(T16*U16)+(T17*U17)+(T18*U18)+(T19*U19)+(T20*U20)+(T21*U21)+(T22*U22)+(T23*U23)+(T24*U24)</f>
        <v>0</v>
      </c>
      <c r="U25" s="175">
        <f>SUM(U12:U24)</f>
        <v>0</v>
      </c>
      <c r="V25" s="393"/>
      <c r="W25" s="173" t="s">
        <v>161</v>
      </c>
      <c r="X25" s="174">
        <f>(X12*Y12)+(X13*Y13)+(X14*Y14)+(X15*Y15)+(X16*Y16)+(X17*Y17)+(X18*Y18)+(X19*Y19)+(X20*Y20)+(X21*Y21)+(X22*Y22)+(X23*Y23)+(X24*Y24)</f>
        <v>0</v>
      </c>
      <c r="Y25" s="174">
        <f>SUM(Y12:Y24)</f>
        <v>0</v>
      </c>
      <c r="Z25" s="174">
        <f>(Z12*AA12)+(Z13*AA13)+(Z14*AA14)+(Z15*AA15)+(Z16*AA16)+(Z17*AA17)+(Z18*AA18)+(Z19*AA19)+(Z20*AA20)+(Z21*AA21)+(Z22*AA22)+(Z23*AA23)+(Z24*AA24)</f>
        <v>0</v>
      </c>
      <c r="AA25" s="175">
        <f>SUM(AA12:AA24)</f>
        <v>0</v>
      </c>
      <c r="AB25" s="393"/>
      <c r="AC25" s="173" t="s">
        <v>161</v>
      </c>
      <c r="AD25" s="174">
        <f>(AD12*AE12)+(AD13*AE13)+(AD14*AE14)+(AD15*AE15)+(AD16*AE16)+(AD17*AE17)+(AD18*AE18)+(AD19*AE19)+(AD20*AE20)+(AD21*AE21)+(AD22*AE22)+(AD23*AE23)+(AD24*AE24)</f>
        <v>0</v>
      </c>
      <c r="AE25" s="174">
        <f>SUM(AE12:AE24)</f>
        <v>0</v>
      </c>
      <c r="AF25" s="174">
        <f>(AF12*AG12)+(AF13*AG13)+(AF14*AG14)+(AF15*AG15)+(AF16*AG16)+(AF17*AG17)+(AF18*AG18)+(AF19*AG19)+(AF20*AG20)+(AF21*AG21)+(AF22*AG22)+(AF23*AG23)+(AF24*AG24)</f>
        <v>0</v>
      </c>
      <c r="AG25" s="175">
        <f>SUM(AG12:AG24)</f>
        <v>0</v>
      </c>
      <c r="AH25" s="81"/>
    </row>
    <row r="26" spans="1:34" ht="14.25" customHeight="1" x14ac:dyDescent="0.25">
      <c r="A26" s="169"/>
      <c r="B26" s="81"/>
      <c r="C26" s="81"/>
      <c r="D26" s="81"/>
      <c r="E26" s="170"/>
      <c r="F26" s="394"/>
      <c r="G26" s="183" t="s">
        <v>228</v>
      </c>
      <c r="H26" s="105"/>
      <c r="I26" s="105"/>
      <c r="J26" s="105"/>
      <c r="K26" s="177"/>
      <c r="L26" s="394"/>
      <c r="M26" s="183" t="s">
        <v>228</v>
      </c>
      <c r="N26" s="105"/>
      <c r="O26" s="105"/>
      <c r="P26" s="105"/>
      <c r="Q26" s="105"/>
      <c r="R26" s="105"/>
      <c r="S26" s="105"/>
      <c r="T26" s="385" t="s">
        <v>228</v>
      </c>
      <c r="U26" s="177"/>
      <c r="V26" s="394"/>
      <c r="W26" s="100"/>
      <c r="X26" s="105"/>
      <c r="Y26" s="105"/>
      <c r="Z26" s="105"/>
      <c r="AA26" s="177"/>
      <c r="AB26" s="394"/>
      <c r="AC26" s="169"/>
      <c r="AD26" s="81"/>
      <c r="AE26" s="81"/>
      <c r="AF26" s="81"/>
      <c r="AG26" s="170"/>
      <c r="AH26" s="81"/>
    </row>
    <row r="27" spans="1:34" x14ac:dyDescent="0.25">
      <c r="A27" s="417" t="s">
        <v>227</v>
      </c>
      <c r="B27" s="418"/>
      <c r="C27" s="418"/>
      <c r="D27" s="418"/>
      <c r="E27" s="419"/>
      <c r="F27" s="394"/>
      <c r="G27" s="179" t="s">
        <v>210</v>
      </c>
      <c r="H27" s="140"/>
      <c r="I27" s="140"/>
      <c r="J27" s="140"/>
      <c r="K27" s="178"/>
      <c r="L27" s="394"/>
      <c r="M27" s="179" t="s">
        <v>202</v>
      </c>
      <c r="N27" s="140"/>
      <c r="O27" s="140"/>
      <c r="P27" s="81"/>
      <c r="Q27" s="81"/>
      <c r="R27" s="140"/>
      <c r="S27" s="140"/>
      <c r="T27" s="386" t="s">
        <v>200</v>
      </c>
      <c r="U27" s="182"/>
      <c r="V27" s="394"/>
      <c r="W27" s="179"/>
      <c r="X27" s="180"/>
      <c r="Y27" s="180"/>
      <c r="Z27" s="180"/>
      <c r="AA27" s="181"/>
      <c r="AB27" s="394"/>
      <c r="AC27" s="417" t="s">
        <v>227</v>
      </c>
      <c r="AD27" s="418"/>
      <c r="AE27" s="418"/>
      <c r="AF27" s="418"/>
      <c r="AG27" s="419"/>
      <c r="AH27" s="81"/>
    </row>
    <row r="28" spans="1:34" ht="15.75" x14ac:dyDescent="0.25">
      <c r="A28" s="420"/>
      <c r="B28" s="418"/>
      <c r="C28" s="418"/>
      <c r="D28" s="418"/>
      <c r="E28" s="419"/>
      <c r="F28" s="394"/>
      <c r="G28" s="213">
        <v>15</v>
      </c>
      <c r="H28" s="214">
        <v>991</v>
      </c>
      <c r="I28" s="215"/>
      <c r="J28" s="221"/>
      <c r="K28" s="223"/>
      <c r="L28" s="394"/>
      <c r="M28" s="213">
        <v>15</v>
      </c>
      <c r="N28" s="214">
        <v>1169</v>
      </c>
      <c r="O28" s="215"/>
      <c r="P28" s="221"/>
      <c r="Q28" s="221"/>
      <c r="R28" s="221"/>
      <c r="S28" s="221"/>
      <c r="T28" s="214">
        <v>1235</v>
      </c>
      <c r="U28" s="216"/>
      <c r="V28" s="394"/>
      <c r="W28" s="213">
        <v>15</v>
      </c>
      <c r="X28" s="214">
        <v>1214</v>
      </c>
      <c r="Y28" s="215"/>
      <c r="Z28" s="214">
        <v>1280</v>
      </c>
      <c r="AA28" s="216"/>
      <c r="AB28" s="388"/>
      <c r="AC28" s="420"/>
      <c r="AD28" s="418"/>
      <c r="AE28" s="418"/>
      <c r="AF28" s="418"/>
      <c r="AG28" s="419"/>
      <c r="AH28" s="81"/>
    </row>
    <row r="29" spans="1:34" ht="15.75" x14ac:dyDescent="0.25">
      <c r="A29" s="420"/>
      <c r="B29" s="418"/>
      <c r="C29" s="418"/>
      <c r="D29" s="418"/>
      <c r="E29" s="419"/>
      <c r="F29" s="394"/>
      <c r="G29" s="217">
        <v>12</v>
      </c>
      <c r="H29" s="218">
        <v>731</v>
      </c>
      <c r="I29" s="219"/>
      <c r="J29" s="222"/>
      <c r="K29" s="224"/>
      <c r="L29" s="394"/>
      <c r="M29" s="217">
        <v>12</v>
      </c>
      <c r="N29" s="218">
        <v>948</v>
      </c>
      <c r="O29" s="219">
        <v>0</v>
      </c>
      <c r="P29" s="222"/>
      <c r="Q29" s="222"/>
      <c r="R29" s="222"/>
      <c r="S29" s="222"/>
      <c r="T29" s="218">
        <v>1021</v>
      </c>
      <c r="U29" s="220"/>
      <c r="V29" s="394"/>
      <c r="W29" s="217">
        <v>12</v>
      </c>
      <c r="X29" s="218">
        <v>984</v>
      </c>
      <c r="Y29" s="219"/>
      <c r="Z29" s="218">
        <v>1057</v>
      </c>
      <c r="AA29" s="220"/>
      <c r="AB29" s="388"/>
      <c r="AC29" s="420"/>
      <c r="AD29" s="418"/>
      <c r="AE29" s="418"/>
      <c r="AF29" s="418"/>
      <c r="AG29" s="419"/>
      <c r="AH29" s="81"/>
    </row>
    <row r="30" spans="1:34" ht="30.75" thickBot="1" x14ac:dyDescent="0.3">
      <c r="A30" s="421"/>
      <c r="B30" s="422"/>
      <c r="C30" s="422"/>
      <c r="D30" s="422"/>
      <c r="E30" s="423"/>
      <c r="F30" s="394"/>
      <c r="G30" s="173" t="s">
        <v>161</v>
      </c>
      <c r="H30" s="174">
        <f>(H28*I28)+(H29*I29)</f>
        <v>0</v>
      </c>
      <c r="I30" s="174">
        <f>SUM(I28:I29)</f>
        <v>0</v>
      </c>
      <c r="J30" s="89"/>
      <c r="K30" s="176"/>
      <c r="L30" s="394"/>
      <c r="M30" s="164" t="s">
        <v>161</v>
      </c>
      <c r="N30" s="162">
        <f>(N28*O28)+(N29*O29)</f>
        <v>0</v>
      </c>
      <c r="O30" s="162">
        <f>SUM(O28:O29)</f>
        <v>0</v>
      </c>
      <c r="P30" s="95"/>
      <c r="Q30" s="95"/>
      <c r="R30" s="95"/>
      <c r="S30" s="95"/>
      <c r="T30" s="162">
        <f>(T28*U28)+(T29*U29)</f>
        <v>0</v>
      </c>
      <c r="U30" s="163">
        <f>SUM(U28:U29)</f>
        <v>0</v>
      </c>
      <c r="V30" s="394"/>
      <c r="W30" s="173" t="s">
        <v>161</v>
      </c>
      <c r="X30" s="174">
        <f>(X28*Y28)+(X29*Y29)</f>
        <v>0</v>
      </c>
      <c r="Y30" s="174">
        <f>SUM(Y28:Y29)</f>
        <v>0</v>
      </c>
      <c r="Z30" s="174">
        <f>(Z28*AA28)+(Z29*AA29)</f>
        <v>0</v>
      </c>
      <c r="AA30" s="175">
        <f>SUM(AA28:AA29)</f>
        <v>0</v>
      </c>
      <c r="AB30" s="388"/>
      <c r="AC30" s="421"/>
      <c r="AD30" s="422"/>
      <c r="AE30" s="422"/>
      <c r="AF30" s="422"/>
      <c r="AG30" s="423"/>
      <c r="AH30" s="81"/>
    </row>
    <row r="31" spans="1:34" x14ac:dyDescent="0.25">
      <c r="F31" s="388"/>
      <c r="L31" s="388"/>
      <c r="V31" s="388"/>
      <c r="AB31" s="388"/>
    </row>
    <row r="32" spans="1:34" ht="15.75" thickBot="1" x14ac:dyDescent="0.3">
      <c r="F32" s="388"/>
      <c r="L32" s="388"/>
      <c r="V32" s="388"/>
      <c r="AB32" s="388"/>
    </row>
    <row r="33" spans="1:28" ht="19.5" thickBot="1" x14ac:dyDescent="0.35">
      <c r="A33" s="424" t="s">
        <v>211</v>
      </c>
      <c r="B33" s="425"/>
      <c r="C33" s="425"/>
      <c r="D33" s="425"/>
      <c r="E33" s="425"/>
      <c r="F33" s="426"/>
      <c r="G33" s="81"/>
      <c r="L33" s="388"/>
      <c r="M33" s="424" t="s">
        <v>159</v>
      </c>
      <c r="N33" s="425"/>
      <c r="O33" s="425"/>
      <c r="P33" s="425"/>
      <c r="Q33" s="426"/>
      <c r="R33" s="235"/>
      <c r="V33" s="388"/>
      <c r="AB33" s="388"/>
    </row>
    <row r="34" spans="1:28" x14ac:dyDescent="0.25">
      <c r="A34" s="169"/>
      <c r="B34" s="433" t="s">
        <v>63</v>
      </c>
      <c r="C34" s="433"/>
      <c r="D34" s="433" t="s">
        <v>66</v>
      </c>
      <c r="E34" s="433"/>
      <c r="F34" s="170"/>
      <c r="G34" s="185"/>
      <c r="H34" s="81"/>
      <c r="L34" s="388"/>
      <c r="M34" s="434" t="s">
        <v>215</v>
      </c>
      <c r="N34" s="435"/>
      <c r="O34" s="435"/>
      <c r="P34" s="435"/>
      <c r="Q34" s="436"/>
      <c r="R34" s="395"/>
      <c r="S34" s="388"/>
      <c r="T34" s="388"/>
      <c r="U34" s="388"/>
      <c r="V34" s="388"/>
      <c r="W34" s="388"/>
      <c r="AB34" s="388"/>
    </row>
    <row r="35" spans="1:28" ht="31.5" x14ac:dyDescent="0.25">
      <c r="A35" s="103"/>
      <c r="B35" s="171" t="s">
        <v>2</v>
      </c>
      <c r="C35" s="171" t="s">
        <v>3</v>
      </c>
      <c r="D35" s="171" t="s">
        <v>2</v>
      </c>
      <c r="E35" s="171" t="s">
        <v>3</v>
      </c>
      <c r="F35" s="188" t="s">
        <v>212</v>
      </c>
      <c r="L35" s="388"/>
      <c r="M35" s="437"/>
      <c r="N35" s="438"/>
      <c r="O35" s="89"/>
      <c r="P35" s="171" t="s">
        <v>2</v>
      </c>
      <c r="Q35" s="189" t="s">
        <v>3</v>
      </c>
      <c r="R35" s="396"/>
      <c r="S35" s="388"/>
      <c r="T35" s="388"/>
      <c r="U35" s="388"/>
      <c r="V35" s="388"/>
      <c r="W35" s="388"/>
      <c r="AB35" s="388"/>
    </row>
    <row r="36" spans="1:28" ht="28.5" customHeight="1" x14ac:dyDescent="0.25">
      <c r="A36" s="225" t="s">
        <v>213</v>
      </c>
      <c r="B36" s="214">
        <v>81</v>
      </c>
      <c r="C36" s="215">
        <v>1</v>
      </c>
      <c r="D36" s="214">
        <v>230</v>
      </c>
      <c r="E36" s="215">
        <v>0</v>
      </c>
      <c r="F36" s="226">
        <f>(B36*C36)+(D36*E36)</f>
        <v>81</v>
      </c>
      <c r="L36" s="388"/>
      <c r="M36" s="448" t="s">
        <v>67</v>
      </c>
      <c r="N36" s="449"/>
      <c r="O36" s="449"/>
      <c r="P36" s="231">
        <v>120</v>
      </c>
      <c r="Q36" s="233">
        <v>2</v>
      </c>
      <c r="R36" s="397"/>
      <c r="S36" s="388"/>
      <c r="T36" s="388"/>
      <c r="U36" s="388"/>
      <c r="V36" s="388"/>
      <c r="W36" s="388"/>
      <c r="AB36" s="388"/>
    </row>
    <row r="37" spans="1:28" ht="30" customHeight="1" thickBot="1" x14ac:dyDescent="0.3">
      <c r="A37" s="227" t="s">
        <v>214</v>
      </c>
      <c r="B37" s="228">
        <v>160</v>
      </c>
      <c r="C37" s="229">
        <v>1</v>
      </c>
      <c r="D37" s="228">
        <v>336</v>
      </c>
      <c r="E37" s="229">
        <v>0</v>
      </c>
      <c r="F37" s="230">
        <f>(B37*C37)+(D37*E37)</f>
        <v>160</v>
      </c>
      <c r="L37" s="388"/>
      <c r="M37" s="450" t="s">
        <v>216</v>
      </c>
      <c r="N37" s="451"/>
      <c r="O37" s="451"/>
      <c r="P37" s="232">
        <v>475</v>
      </c>
      <c r="Q37" s="234"/>
      <c r="R37" s="397"/>
      <c r="S37" s="388"/>
      <c r="T37" s="388"/>
      <c r="U37" s="388"/>
      <c r="V37" s="388"/>
      <c r="W37" s="388"/>
      <c r="AB37" s="388"/>
    </row>
    <row r="38" spans="1:28" ht="27" thickBot="1" x14ac:dyDescent="0.45">
      <c r="A38" s="81"/>
      <c r="B38" s="81"/>
      <c r="C38" s="81"/>
      <c r="D38" s="193"/>
      <c r="E38" s="194" t="s">
        <v>68</v>
      </c>
      <c r="F38" s="195" t="str">
        <f>IF(F36&gt;0, IF(F37=0, "VERIFY NO CONTROL END PANEL", "NONE"), "VERIFY NO END PANEL")</f>
        <v>NONE</v>
      </c>
      <c r="G38" s="81"/>
      <c r="L38" s="388"/>
      <c r="M38" s="452" t="s">
        <v>161</v>
      </c>
      <c r="N38" s="453"/>
      <c r="O38" s="453"/>
      <c r="P38" s="190">
        <f>(Q36*P36)+(Q37*P37)</f>
        <v>240</v>
      </c>
      <c r="Q38" s="163"/>
      <c r="R38" s="398"/>
      <c r="S38" s="388"/>
      <c r="T38" s="388"/>
      <c r="U38" s="388"/>
      <c r="V38" s="388"/>
      <c r="W38" s="388"/>
      <c r="AB38" s="388"/>
    </row>
    <row r="39" spans="1:28" ht="26.25" customHeight="1" x14ac:dyDescent="0.4">
      <c r="N39" s="196"/>
      <c r="O39" s="197" t="s">
        <v>68</v>
      </c>
      <c r="P39" s="237" t="str">
        <f>IF((COUNTIF(Q36, "&gt;0")+COUNTIF(Q37, "&gt;0"))&gt;=2, "VERIFY BOTH MANUAL AND POWER/HYDRAULIC CROWN ADJUSTMENT INSTALLED", IF((COUNTIF(Q36, "&gt;0")+COUNTIF(Q37, "&gt;0"))&lt;1, "VERIFY NO CROWN ADJUSTMENT INSTALLED", "NONE"))</f>
        <v>NONE</v>
      </c>
      <c r="Q39" s="236"/>
      <c r="R39" s="399"/>
      <c r="S39" s="388"/>
      <c r="T39" s="388"/>
      <c r="U39" s="388"/>
      <c r="V39" s="388"/>
      <c r="W39" s="388"/>
      <c r="AB39" s="388"/>
    </row>
    <row r="40" spans="1:28" ht="15.75" thickBot="1" x14ac:dyDescent="0.3">
      <c r="A40" s="85" t="s">
        <v>62</v>
      </c>
      <c r="D40" s="83"/>
      <c r="E40" s="83"/>
      <c r="F40" s="83"/>
      <c r="G40" s="83"/>
      <c r="AB40" s="388"/>
    </row>
    <row r="41" spans="1:28" ht="15.75" customHeight="1" x14ac:dyDescent="0.25">
      <c r="A41" s="442" t="s">
        <v>1</v>
      </c>
      <c r="B41" s="443"/>
      <c r="C41" s="154"/>
      <c r="D41" s="454" t="s">
        <v>64</v>
      </c>
      <c r="E41" s="454"/>
      <c r="F41" s="443" t="s">
        <v>65</v>
      </c>
      <c r="G41" s="455"/>
      <c r="AB41" s="388"/>
    </row>
    <row r="42" spans="1:28" ht="15.75" thickBot="1" x14ac:dyDescent="0.3">
      <c r="A42" s="444">
        <v>0</v>
      </c>
      <c r="B42" s="445"/>
      <c r="C42" s="155"/>
      <c r="D42" s="446">
        <v>7</v>
      </c>
      <c r="E42" s="446"/>
      <c r="F42" s="446">
        <f>D42*A42</f>
        <v>0</v>
      </c>
      <c r="G42" s="447"/>
      <c r="H42" s="83"/>
    </row>
    <row r="43" spans="1:28" x14ac:dyDescent="0.25">
      <c r="H43" s="82"/>
    </row>
    <row r="44" spans="1:28" x14ac:dyDescent="0.25">
      <c r="A44" s="84" t="s">
        <v>70</v>
      </c>
      <c r="H44" s="83"/>
    </row>
  </sheetData>
  <sheetProtection password="E89C" sheet="1" objects="1" scenarios="1" selectLockedCells="1"/>
  <mergeCells count="41">
    <mergeCell ref="M35:N35"/>
    <mergeCell ref="L4:N4"/>
    <mergeCell ref="A41:B41"/>
    <mergeCell ref="A42:B42"/>
    <mergeCell ref="D42:E42"/>
    <mergeCell ref="F42:G42"/>
    <mergeCell ref="H10:I10"/>
    <mergeCell ref="J10:K10"/>
    <mergeCell ref="N10:O10"/>
    <mergeCell ref="M36:O36"/>
    <mergeCell ref="M37:O37"/>
    <mergeCell ref="M38:O38"/>
    <mergeCell ref="D41:E41"/>
    <mergeCell ref="F41:G41"/>
    <mergeCell ref="W10:W11"/>
    <mergeCell ref="AC10:AC11"/>
    <mergeCell ref="B34:C34"/>
    <mergeCell ref="D34:E34"/>
    <mergeCell ref="D10:E10"/>
    <mergeCell ref="G10:G11"/>
    <mergeCell ref="M10:M11"/>
    <mergeCell ref="X10:Y10"/>
    <mergeCell ref="Z10:AA10"/>
    <mergeCell ref="M33:Q33"/>
    <mergeCell ref="M34:Q34"/>
    <mergeCell ref="A3:E3"/>
    <mergeCell ref="A27:E30"/>
    <mergeCell ref="AC27:AG30"/>
    <mergeCell ref="A33:F33"/>
    <mergeCell ref="A9:E9"/>
    <mergeCell ref="G9:K9"/>
    <mergeCell ref="M9:U9"/>
    <mergeCell ref="W9:AA9"/>
    <mergeCell ref="AC9:AG9"/>
    <mergeCell ref="P10:Q10"/>
    <mergeCell ref="R10:S10"/>
    <mergeCell ref="T10:U10"/>
    <mergeCell ref="A10:A11"/>
    <mergeCell ref="B10:C10"/>
    <mergeCell ref="AD10:AE10"/>
    <mergeCell ref="AF10:AG10"/>
  </mergeCells>
  <pageMargins left="0.7" right="0.7" top="0.75" bottom="0.75" header="0.3" footer="0.3"/>
  <pageSetup scale="50" orientation="landscape" r:id="rId1"/>
  <headerFooter alignWithMargins="0">
    <oddHeader>&amp;LBID-WELL: A TEREX Company
PO Box 97, Canton, SD 57013&amp;CPAVER WHEEL LOAD
WEIGHT CALCULATOR&amp;R&amp;F
KJK 033017</oddHeader>
    <oddFooter>&amp;LTab: &amp;A&amp;CPage &amp;P of &amp;N&amp;RPrinted: &amp;D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47"/>
  <sheetViews>
    <sheetView zoomScale="85" zoomScaleNormal="85" zoomScalePageLayoutView="40" workbookViewId="0">
      <selection activeCell="G25" sqref="G25"/>
    </sheetView>
  </sheetViews>
  <sheetFormatPr defaultRowHeight="15" x14ac:dyDescent="0.25"/>
  <cols>
    <col min="1" max="1" width="13.7109375" customWidth="1"/>
    <col min="2" max="2" width="26" customWidth="1"/>
    <col min="4" max="5" width="9.140625" customWidth="1"/>
    <col min="7" max="8" width="9.140625" customWidth="1"/>
    <col min="10" max="11" width="9.140625" customWidth="1"/>
    <col min="13" max="14" width="9.140625" customWidth="1"/>
    <col min="16" max="16" width="9.140625" customWidth="1"/>
    <col min="18" max="18" width="9.140625" customWidth="1"/>
    <col min="20" max="20" width="9.140625" customWidth="1"/>
  </cols>
  <sheetData>
    <row r="1" spans="1:16" ht="32.25" thickBot="1" x14ac:dyDescent="0.3">
      <c r="B1" s="139" t="s">
        <v>178</v>
      </c>
      <c r="C1" s="138"/>
      <c r="D1" s="238" t="s">
        <v>2</v>
      </c>
      <c r="E1" s="254" t="s">
        <v>3</v>
      </c>
    </row>
    <row r="2" spans="1:16" ht="15.75" x14ac:dyDescent="0.25">
      <c r="B2" s="128"/>
      <c r="C2" s="134" t="s">
        <v>180</v>
      </c>
      <c r="D2" s="253">
        <f>IF(COUNTIF(D15, "&gt;0")+COUNTIF(G15, "&gt;0")+COUNTIF(J15, "&gt;0")+COUNTIF(M15, "&gt;0")+COUNTIF(P15, "&gt;0")&gt;1, "Error", MAX(C15, F15, I15, L15, O15))</f>
        <v>2371</v>
      </c>
      <c r="E2" s="255">
        <f>IF(COUNTIF(D15, "&gt;0")+COUNTIF(G15, "&gt;0")+COUNTIF(J15, "&gt;0")+COUNTIF(M15, "&gt;0")+COUNTIF(P15, "&gt;0")&gt;1, "Error", MAX(D15, G15, J15, M15, P15))</f>
        <v>1</v>
      </c>
    </row>
    <row r="3" spans="1:16" ht="16.5" thickBot="1" x14ac:dyDescent="0.3">
      <c r="A3" s="133"/>
      <c r="B3" s="106"/>
      <c r="C3" s="135" t="s">
        <v>179</v>
      </c>
      <c r="D3" s="239">
        <f>IF(COUNTIF(D38, "&gt;0")+COUNTIF(G38, "&gt;0")+COUNTIF(J38, "&gt;0")+COUNTIF(M38, "&gt;0")+COUNTIF(P38, "&gt;0")&gt;1, "Error", (C38+F38+I38+L38+O38))</f>
        <v>0</v>
      </c>
      <c r="E3" s="255">
        <f>IF(COUNTIF(D38, "&gt;0")+COUNTIF(G38, "&gt;0")+COUNTIF(J38, "&gt;0")+COUNTIF(M38, "&gt;0")+COUNTIF(P38, "&gt;0")&gt;1, "Error", MAX(D38, G38, J38, M38, P38))</f>
        <v>0</v>
      </c>
    </row>
    <row r="4" spans="1:16" ht="16.5" thickBot="1" x14ac:dyDescent="0.3">
      <c r="A4" s="133"/>
      <c r="B4" s="136"/>
      <c r="C4" s="137" t="s">
        <v>181</v>
      </c>
      <c r="D4" s="240">
        <f>D3+D2</f>
        <v>2371</v>
      </c>
      <c r="E4" s="256">
        <f>E2+E3</f>
        <v>1</v>
      </c>
      <c r="I4" s="439" t="s">
        <v>162</v>
      </c>
      <c r="J4" s="441"/>
      <c r="K4" s="133"/>
    </row>
    <row r="5" spans="1:16" ht="16.5" thickBot="1" x14ac:dyDescent="0.3">
      <c r="A5" s="133"/>
      <c r="B5" s="269"/>
      <c r="C5" s="123"/>
      <c r="D5" s="124"/>
      <c r="E5" s="124"/>
      <c r="I5" s="133"/>
      <c r="J5" s="133"/>
      <c r="K5" s="133"/>
    </row>
    <row r="6" spans="1:16" ht="27" thickBot="1" x14ac:dyDescent="0.45">
      <c r="A6" s="133"/>
      <c r="C6" s="456" t="s">
        <v>217</v>
      </c>
      <c r="D6" s="457"/>
      <c r="E6" s="457"/>
      <c r="F6" s="457"/>
      <c r="G6" s="457"/>
      <c r="H6" s="457"/>
      <c r="I6" s="457"/>
      <c r="J6" s="457"/>
      <c r="K6" s="457"/>
      <c r="L6" s="457"/>
      <c r="M6" s="457"/>
      <c r="N6" s="457"/>
      <c r="O6" s="457"/>
      <c r="P6" s="458"/>
    </row>
    <row r="7" spans="1:16" ht="18.75" customHeight="1" x14ac:dyDescent="0.25">
      <c r="A7" s="81"/>
      <c r="B7" s="270"/>
      <c r="C7" s="464" t="s">
        <v>90</v>
      </c>
      <c r="D7" s="465"/>
      <c r="E7" s="243"/>
      <c r="F7" s="464" t="s">
        <v>91</v>
      </c>
      <c r="G7" s="465"/>
      <c r="H7" s="243"/>
      <c r="I7" s="464">
        <v>4800</v>
      </c>
      <c r="J7" s="465"/>
      <c r="K7" s="243"/>
      <c r="L7" s="464">
        <v>5000</v>
      </c>
      <c r="M7" s="465"/>
      <c r="N7" s="243"/>
      <c r="O7" s="464" t="s">
        <v>129</v>
      </c>
      <c r="P7" s="465">
        <v>6500</v>
      </c>
    </row>
    <row r="8" spans="1:16" ht="31.5" x14ac:dyDescent="0.25">
      <c r="A8" s="81"/>
      <c r="B8" s="272"/>
      <c r="C8" s="161" t="s">
        <v>2</v>
      </c>
      <c r="D8" s="160" t="s">
        <v>3</v>
      </c>
      <c r="E8" s="273"/>
      <c r="F8" s="161" t="s">
        <v>2</v>
      </c>
      <c r="G8" s="160" t="s">
        <v>3</v>
      </c>
      <c r="H8" s="273"/>
      <c r="I8" s="161" t="s">
        <v>2</v>
      </c>
      <c r="J8" s="160" t="s">
        <v>3</v>
      </c>
      <c r="K8" s="273"/>
      <c r="L8" s="161" t="s">
        <v>2</v>
      </c>
      <c r="M8" s="160" t="s">
        <v>3</v>
      </c>
      <c r="N8" s="273"/>
      <c r="O8" s="161" t="s">
        <v>2</v>
      </c>
      <c r="P8" s="160" t="s">
        <v>3</v>
      </c>
    </row>
    <row r="9" spans="1:16" x14ac:dyDescent="0.25">
      <c r="A9" s="469" t="s">
        <v>126</v>
      </c>
      <c r="B9" s="260" t="s">
        <v>133</v>
      </c>
      <c r="C9" s="261">
        <v>1920</v>
      </c>
      <c r="D9" s="209"/>
      <c r="E9" s="402"/>
      <c r="F9" s="262">
        <v>2101</v>
      </c>
      <c r="G9" s="209"/>
      <c r="H9" s="402"/>
      <c r="I9" s="262">
        <v>1901</v>
      </c>
      <c r="J9" s="209"/>
      <c r="K9" s="402"/>
      <c r="L9" s="262">
        <v>2801</v>
      </c>
      <c r="M9" s="209"/>
      <c r="N9" s="402"/>
      <c r="O9" s="306"/>
      <c r="P9" s="320"/>
    </row>
    <row r="10" spans="1:16" x14ac:dyDescent="0.25">
      <c r="A10" s="470"/>
      <c r="B10" s="263" t="s">
        <v>134</v>
      </c>
      <c r="C10" s="264">
        <v>2300</v>
      </c>
      <c r="D10" s="202"/>
      <c r="E10" s="402"/>
      <c r="F10" s="265">
        <v>2371</v>
      </c>
      <c r="G10" s="202">
        <v>0</v>
      </c>
      <c r="H10" s="402"/>
      <c r="I10" s="265">
        <v>2101</v>
      </c>
      <c r="J10" s="202"/>
      <c r="K10" s="402"/>
      <c r="L10" s="265">
        <v>2801</v>
      </c>
      <c r="M10" s="202"/>
      <c r="N10" s="402"/>
      <c r="O10" s="300"/>
      <c r="P10" s="301"/>
    </row>
    <row r="11" spans="1:16" x14ac:dyDescent="0.25">
      <c r="A11" s="471"/>
      <c r="B11" s="266" t="s">
        <v>135</v>
      </c>
      <c r="C11" s="267">
        <v>1875</v>
      </c>
      <c r="D11" s="206"/>
      <c r="E11" s="402"/>
      <c r="F11" s="268">
        <v>2371</v>
      </c>
      <c r="G11" s="206">
        <v>1</v>
      </c>
      <c r="H11" s="402"/>
      <c r="I11" s="268">
        <v>2691</v>
      </c>
      <c r="J11" s="206">
        <v>0</v>
      </c>
      <c r="K11" s="402"/>
      <c r="L11" s="268">
        <v>2801</v>
      </c>
      <c r="M11" s="206"/>
      <c r="N11" s="402"/>
      <c r="O11" s="307"/>
      <c r="P11" s="303"/>
    </row>
    <row r="12" spans="1:16" x14ac:dyDescent="0.25">
      <c r="A12" s="469" t="s">
        <v>125</v>
      </c>
      <c r="B12" s="260" t="s">
        <v>133</v>
      </c>
      <c r="C12" s="261">
        <v>2000</v>
      </c>
      <c r="D12" s="209"/>
      <c r="E12" s="402"/>
      <c r="F12" s="262">
        <v>2201</v>
      </c>
      <c r="G12" s="209"/>
      <c r="H12" s="402"/>
      <c r="I12" s="262">
        <v>2001</v>
      </c>
      <c r="J12" s="209"/>
      <c r="K12" s="402"/>
      <c r="L12" s="262">
        <v>2901</v>
      </c>
      <c r="M12" s="209"/>
      <c r="N12" s="402"/>
      <c r="O12" s="262">
        <v>3201</v>
      </c>
      <c r="P12" s="209"/>
    </row>
    <row r="13" spans="1:16" x14ac:dyDescent="0.25">
      <c r="A13" s="470"/>
      <c r="B13" s="263" t="s">
        <v>134</v>
      </c>
      <c r="C13" s="264">
        <v>2500</v>
      </c>
      <c r="D13" s="202"/>
      <c r="E13" s="402"/>
      <c r="F13" s="265">
        <v>2471</v>
      </c>
      <c r="G13" s="202"/>
      <c r="H13" s="402"/>
      <c r="I13" s="265">
        <v>2435</v>
      </c>
      <c r="J13" s="202"/>
      <c r="K13" s="402"/>
      <c r="L13" s="265">
        <v>2901</v>
      </c>
      <c r="M13" s="202"/>
      <c r="N13" s="402"/>
      <c r="O13" s="265">
        <v>3201</v>
      </c>
      <c r="P13" s="202"/>
    </row>
    <row r="14" spans="1:16" x14ac:dyDescent="0.25">
      <c r="A14" s="471"/>
      <c r="B14" s="266" t="s">
        <v>135</v>
      </c>
      <c r="C14" s="267">
        <v>1975</v>
      </c>
      <c r="D14" s="206"/>
      <c r="E14" s="402"/>
      <c r="F14" s="268">
        <v>2471</v>
      </c>
      <c r="G14" s="206"/>
      <c r="H14" s="402"/>
      <c r="I14" s="268">
        <v>2871</v>
      </c>
      <c r="J14" s="206"/>
      <c r="K14" s="402"/>
      <c r="L14" s="268">
        <v>2901</v>
      </c>
      <c r="M14" s="206"/>
      <c r="N14" s="402"/>
      <c r="O14" s="268">
        <v>3201</v>
      </c>
      <c r="P14" s="206"/>
    </row>
    <row r="15" spans="1:16" ht="15.75" thickBot="1" x14ac:dyDescent="0.3">
      <c r="A15" s="81"/>
      <c r="B15" s="248" t="s">
        <v>196</v>
      </c>
      <c r="C15" s="250">
        <f>(C9*D9)+(C10*D10)+(C11*D11)+(C12*D12)+(C13*D13)+(C14*D14)</f>
        <v>0</v>
      </c>
      <c r="D15" s="251">
        <f>SUM(D9:D14)</f>
        <v>0</v>
      </c>
      <c r="E15" s="274"/>
      <c r="F15" s="252">
        <f>(F9*G9)+(F12*G12)+(F10*G10)+(F13*G13)+(F11*G11)+(F14*G14)</f>
        <v>2371</v>
      </c>
      <c r="G15" s="251">
        <f>SUM(G9:G14)</f>
        <v>1</v>
      </c>
      <c r="H15" s="274"/>
      <c r="I15" s="252">
        <f>(I9*J9)+(I12*J12)+(I10*J10)+(I13*J13)+(I11*J11)+(I14*J14)</f>
        <v>0</v>
      </c>
      <c r="J15" s="251">
        <f>SUM(J9:J14)</f>
        <v>0</v>
      </c>
      <c r="K15" s="274"/>
      <c r="L15" s="252">
        <f>(L9*M9)+(L12*M12)+(L10*M10)+(L13*M13)+(L11*M11)+(L14*M14)</f>
        <v>0</v>
      </c>
      <c r="M15" s="251">
        <f>SUM(M9:M14)</f>
        <v>0</v>
      </c>
      <c r="N15" s="274"/>
      <c r="O15" s="252">
        <f>(O9*P9)+(O12*P12)+(O10*P10)+(O13*P13)+(O11*P11)+(O14*P14)</f>
        <v>0</v>
      </c>
      <c r="P15" s="251">
        <f>SUM(P9:P14)</f>
        <v>0</v>
      </c>
    </row>
    <row r="16" spans="1:16" ht="21" x14ac:dyDescent="0.35">
      <c r="A16" s="81"/>
      <c r="D16" s="191" t="s">
        <v>136</v>
      </c>
      <c r="E16" s="192" t="str">
        <f>IF(COUNTIF(D15,"&gt;0")+COUNTIF(G15,"&gt;0")+COUNTIF(J15,"&gt;0")+COUNTIF(M15,"&gt;0")+COUNTIF(P15,"&gt;0")&gt;1,"MUST SELECT ALL OPTIONS FROM SAME MACHINE COLUMN", IF(D15+G15+J15+M15+P15&gt;1, "VERIFY MORE THAN 1 CARRIAGE CORRECT", IF(D15+G15+J15+M15+P15&lt;1, "PLEASE SELECT CARRIAGE(S)","NONE")))</f>
        <v>NONE</v>
      </c>
      <c r="F16" s="187"/>
      <c r="G16" s="81"/>
      <c r="H16" s="81"/>
      <c r="I16" s="187"/>
      <c r="J16" s="81"/>
      <c r="K16" s="249"/>
      <c r="L16" s="81"/>
      <c r="M16" s="81"/>
      <c r="N16" s="249"/>
      <c r="O16" s="81"/>
      <c r="P16" s="81"/>
    </row>
    <row r="17" spans="1:21" ht="21.75" thickBot="1" x14ac:dyDescent="0.4">
      <c r="A17" s="81"/>
      <c r="B17" s="191"/>
      <c r="C17" s="192"/>
      <c r="D17" s="81"/>
      <c r="E17" s="81"/>
      <c r="F17" s="187"/>
      <c r="G17" s="81"/>
      <c r="H17" s="81"/>
      <c r="I17" s="187"/>
      <c r="J17" s="81"/>
      <c r="K17" s="249"/>
      <c r="L17" s="81"/>
      <c r="M17" s="81"/>
      <c r="N17" s="81"/>
      <c r="O17" s="81"/>
      <c r="P17" s="81"/>
    </row>
    <row r="18" spans="1:21" ht="27" thickBot="1" x14ac:dyDescent="0.45">
      <c r="A18" s="81"/>
      <c r="B18" s="186"/>
      <c r="C18" s="456" t="s">
        <v>218</v>
      </c>
      <c r="D18" s="457"/>
      <c r="E18" s="457"/>
      <c r="F18" s="457"/>
      <c r="G18" s="457"/>
      <c r="H18" s="457"/>
      <c r="I18" s="457"/>
      <c r="J18" s="457"/>
      <c r="K18" s="457"/>
      <c r="L18" s="457"/>
      <c r="M18" s="457"/>
      <c r="N18" s="457"/>
      <c r="O18" s="457"/>
      <c r="P18" s="458"/>
    </row>
    <row r="19" spans="1:21" ht="15.75" thickBot="1" x14ac:dyDescent="0.3">
      <c r="A19" s="81"/>
      <c r="B19" s="81"/>
      <c r="C19" s="459" t="s">
        <v>154</v>
      </c>
      <c r="D19" s="460"/>
      <c r="E19" s="460"/>
      <c r="F19" s="460"/>
      <c r="G19" s="460"/>
      <c r="H19" s="460"/>
      <c r="I19" s="460"/>
      <c r="J19" s="461"/>
      <c r="K19" s="83"/>
      <c r="L19" s="462" t="s">
        <v>152</v>
      </c>
      <c r="M19" s="463"/>
      <c r="N19" s="83"/>
      <c r="O19" s="462" t="s">
        <v>153</v>
      </c>
      <c r="P19" s="463"/>
      <c r="U19" s="97"/>
    </row>
    <row r="20" spans="1:21" ht="15.75" thickBot="1" x14ac:dyDescent="0.3">
      <c r="A20" s="81"/>
      <c r="B20" s="81"/>
      <c r="C20" s="459" t="s">
        <v>150</v>
      </c>
      <c r="D20" s="460"/>
      <c r="E20" s="460"/>
      <c r="F20" s="460"/>
      <c r="G20" s="461"/>
      <c r="H20" s="408"/>
      <c r="I20" s="459" t="s">
        <v>237</v>
      </c>
      <c r="J20" s="461"/>
      <c r="K20" s="410"/>
      <c r="L20" s="459" t="s">
        <v>151</v>
      </c>
      <c r="M20" s="460"/>
      <c r="N20" s="460"/>
      <c r="O20" s="460"/>
      <c r="P20" s="461"/>
    </row>
    <row r="21" spans="1:21" ht="18.75" customHeight="1" x14ac:dyDescent="0.25">
      <c r="A21" s="81"/>
      <c r="B21" s="270"/>
      <c r="C21" s="464" t="s">
        <v>90</v>
      </c>
      <c r="D21" s="465"/>
      <c r="E21" s="282"/>
      <c r="F21" s="464" t="s">
        <v>91</v>
      </c>
      <c r="G21" s="465"/>
      <c r="H21" s="409"/>
      <c r="I21" s="464">
        <v>4800</v>
      </c>
      <c r="J21" s="465"/>
      <c r="K21" s="409"/>
      <c r="L21" s="464">
        <v>5000</v>
      </c>
      <c r="M21" s="465"/>
      <c r="N21" s="282"/>
      <c r="O21" s="464" t="s">
        <v>129</v>
      </c>
      <c r="P21" s="465">
        <v>6500</v>
      </c>
    </row>
    <row r="22" spans="1:21" ht="31.5" x14ac:dyDescent="0.25">
      <c r="A22" s="81"/>
      <c r="B22" s="271"/>
      <c r="C22" s="257" t="s">
        <v>2</v>
      </c>
      <c r="D22" s="258" t="s">
        <v>3</v>
      </c>
      <c r="E22" s="273"/>
      <c r="F22" s="257" t="s">
        <v>2</v>
      </c>
      <c r="G22" s="258" t="s">
        <v>3</v>
      </c>
      <c r="H22" s="273"/>
      <c r="I22" s="257" t="s">
        <v>2</v>
      </c>
      <c r="J22" s="258" t="s">
        <v>3</v>
      </c>
      <c r="K22" s="273"/>
      <c r="L22" s="257" t="s">
        <v>2</v>
      </c>
      <c r="M22" s="258" t="s">
        <v>3</v>
      </c>
      <c r="N22" s="273"/>
      <c r="O22" s="257" t="s">
        <v>2</v>
      </c>
      <c r="P22" s="258" t="s">
        <v>3</v>
      </c>
    </row>
    <row r="23" spans="1:21" ht="15.75" customHeight="1" x14ac:dyDescent="0.25">
      <c r="A23" s="277" t="s">
        <v>144</v>
      </c>
      <c r="B23" s="278" t="s">
        <v>110</v>
      </c>
      <c r="C23" s="261">
        <v>230</v>
      </c>
      <c r="D23" s="209"/>
      <c r="E23" s="402"/>
      <c r="F23" s="262">
        <v>230</v>
      </c>
      <c r="G23" s="209"/>
      <c r="H23" s="402"/>
      <c r="I23" s="262">
        <v>301</v>
      </c>
      <c r="J23" s="209">
        <v>0</v>
      </c>
      <c r="K23" s="402"/>
      <c r="L23" s="262">
        <v>401</v>
      </c>
      <c r="M23" s="209"/>
      <c r="N23" s="402"/>
      <c r="O23" s="262">
        <v>401</v>
      </c>
      <c r="P23" s="209"/>
    </row>
    <row r="24" spans="1:21" ht="15.75" customHeight="1" x14ac:dyDescent="0.25">
      <c r="A24" s="466" t="s">
        <v>155</v>
      </c>
      <c r="B24" s="279" t="s">
        <v>113</v>
      </c>
      <c r="C24" s="284"/>
      <c r="D24" s="285"/>
      <c r="E24" s="283"/>
      <c r="F24" s="265">
        <v>20</v>
      </c>
      <c r="G24" s="202"/>
      <c r="H24" s="283"/>
      <c r="I24" s="265">
        <v>20</v>
      </c>
      <c r="J24" s="202"/>
      <c r="K24" s="283"/>
      <c r="L24" s="296"/>
      <c r="M24" s="297"/>
      <c r="N24" s="283"/>
      <c r="O24" s="298"/>
      <c r="P24" s="299"/>
    </row>
    <row r="25" spans="1:21" ht="15.75" customHeight="1" x14ac:dyDescent="0.25">
      <c r="A25" s="466"/>
      <c r="B25" s="279" t="s">
        <v>114</v>
      </c>
      <c r="C25" s="286"/>
      <c r="D25" s="287"/>
      <c r="E25" s="283"/>
      <c r="F25" s="265">
        <v>35</v>
      </c>
      <c r="G25" s="202"/>
      <c r="H25" s="283"/>
      <c r="I25" s="265">
        <v>35</v>
      </c>
      <c r="J25" s="202">
        <v>0</v>
      </c>
      <c r="K25" s="283"/>
      <c r="L25" s="265">
        <v>35</v>
      </c>
      <c r="M25" s="202"/>
      <c r="N25" s="283"/>
      <c r="O25" s="304"/>
      <c r="P25" s="305"/>
    </row>
    <row r="26" spans="1:21" ht="15.75" customHeight="1" x14ac:dyDescent="0.25">
      <c r="A26" s="280" t="s">
        <v>145</v>
      </c>
      <c r="B26" s="279" t="s">
        <v>117</v>
      </c>
      <c r="C26" s="286"/>
      <c r="D26" s="287"/>
      <c r="E26" s="283"/>
      <c r="F26" s="284"/>
      <c r="G26" s="285"/>
      <c r="H26" s="283"/>
      <c r="I26" s="265">
        <v>501</v>
      </c>
      <c r="J26" s="202"/>
      <c r="K26" s="283"/>
      <c r="L26" s="265">
        <v>491</v>
      </c>
      <c r="M26" s="202"/>
      <c r="N26" s="283"/>
      <c r="O26" s="265">
        <v>491</v>
      </c>
      <c r="P26" s="202"/>
    </row>
    <row r="27" spans="1:21" ht="15.75" customHeight="1" x14ac:dyDescent="0.25">
      <c r="A27" s="468" t="s">
        <v>130</v>
      </c>
      <c r="B27" s="279" t="s">
        <v>148</v>
      </c>
      <c r="C27" s="286"/>
      <c r="D27" s="287"/>
      <c r="E27" s="283"/>
      <c r="F27" s="286"/>
      <c r="G27" s="287"/>
      <c r="H27" s="283"/>
      <c r="I27" s="265">
        <v>381</v>
      </c>
      <c r="J27" s="202"/>
      <c r="K27" s="283"/>
      <c r="L27" s="290"/>
      <c r="M27" s="291"/>
      <c r="N27" s="283"/>
      <c r="O27" s="298"/>
      <c r="P27" s="299"/>
    </row>
    <row r="28" spans="1:21" ht="15.75" customHeight="1" x14ac:dyDescent="0.25">
      <c r="A28" s="468"/>
      <c r="B28" s="279" t="s">
        <v>115</v>
      </c>
      <c r="C28" s="286"/>
      <c r="D28" s="287"/>
      <c r="E28" s="283"/>
      <c r="F28" s="286"/>
      <c r="G28" s="287"/>
      <c r="H28" s="283"/>
      <c r="I28" s="265">
        <v>421</v>
      </c>
      <c r="J28" s="202"/>
      <c r="K28" s="283"/>
      <c r="L28" s="292"/>
      <c r="M28" s="293"/>
      <c r="N28" s="283"/>
      <c r="O28" s="300"/>
      <c r="P28" s="301"/>
    </row>
    <row r="29" spans="1:21" ht="15.75" customHeight="1" x14ac:dyDescent="0.25">
      <c r="A29" s="468"/>
      <c r="B29" s="279" t="s">
        <v>149</v>
      </c>
      <c r="C29" s="286"/>
      <c r="D29" s="287"/>
      <c r="E29" s="283"/>
      <c r="F29" s="286"/>
      <c r="G29" s="287"/>
      <c r="H29" s="283"/>
      <c r="I29" s="265">
        <v>581</v>
      </c>
      <c r="J29" s="202"/>
      <c r="K29" s="283"/>
      <c r="L29" s="292"/>
      <c r="M29" s="293"/>
      <c r="N29" s="283"/>
      <c r="O29" s="300"/>
      <c r="P29" s="301"/>
    </row>
    <row r="30" spans="1:21" ht="15.75" customHeight="1" x14ac:dyDescent="0.25">
      <c r="A30" s="468"/>
      <c r="B30" s="279" t="s">
        <v>116</v>
      </c>
      <c r="C30" s="286"/>
      <c r="D30" s="287"/>
      <c r="E30" s="283"/>
      <c r="F30" s="286"/>
      <c r="G30" s="287"/>
      <c r="H30" s="283"/>
      <c r="I30" s="265">
        <v>621</v>
      </c>
      <c r="J30" s="202">
        <v>0</v>
      </c>
      <c r="K30" s="283"/>
      <c r="L30" s="294"/>
      <c r="M30" s="295"/>
      <c r="N30" s="283"/>
      <c r="O30" s="300"/>
      <c r="P30" s="301"/>
    </row>
    <row r="31" spans="1:21" ht="15.75" customHeight="1" x14ac:dyDescent="0.25">
      <c r="A31" s="280" t="s">
        <v>131</v>
      </c>
      <c r="B31" s="279" t="s">
        <v>118</v>
      </c>
      <c r="C31" s="286"/>
      <c r="D31" s="287"/>
      <c r="E31" s="283"/>
      <c r="F31" s="286"/>
      <c r="G31" s="287"/>
      <c r="H31" s="283"/>
      <c r="I31" s="284"/>
      <c r="J31" s="285"/>
      <c r="K31" s="283"/>
      <c r="L31" s="265">
        <v>-501</v>
      </c>
      <c r="M31" s="202"/>
      <c r="N31" s="283"/>
      <c r="O31" s="304"/>
      <c r="P31" s="305"/>
    </row>
    <row r="32" spans="1:21" ht="15.75" customHeight="1" x14ac:dyDescent="0.25">
      <c r="A32" s="280" t="s">
        <v>156</v>
      </c>
      <c r="B32" s="279" t="s">
        <v>119</v>
      </c>
      <c r="C32" s="286"/>
      <c r="D32" s="287"/>
      <c r="E32" s="283"/>
      <c r="F32" s="286"/>
      <c r="G32" s="287"/>
      <c r="H32" s="283"/>
      <c r="I32" s="286"/>
      <c r="J32" s="287"/>
      <c r="K32" s="283"/>
      <c r="L32" s="298"/>
      <c r="M32" s="299"/>
      <c r="N32" s="283"/>
      <c r="O32" s="265">
        <v>-650</v>
      </c>
      <c r="P32" s="202"/>
    </row>
    <row r="33" spans="1:24" ht="15.75" customHeight="1" x14ac:dyDescent="0.25">
      <c r="A33" s="466" t="s">
        <v>127</v>
      </c>
      <c r="B33" s="279" t="s">
        <v>120</v>
      </c>
      <c r="C33" s="286"/>
      <c r="D33" s="287"/>
      <c r="E33" s="283"/>
      <c r="F33" s="286"/>
      <c r="G33" s="287"/>
      <c r="H33" s="283"/>
      <c r="I33" s="286"/>
      <c r="J33" s="287"/>
      <c r="K33" s="283"/>
      <c r="L33" s="300"/>
      <c r="M33" s="301"/>
      <c r="N33" s="283"/>
      <c r="O33" s="265">
        <v>120</v>
      </c>
      <c r="P33" s="202"/>
      <c r="Q33" s="97"/>
    </row>
    <row r="34" spans="1:24" ht="15.75" customHeight="1" x14ac:dyDescent="0.25">
      <c r="A34" s="466"/>
      <c r="B34" s="279" t="s">
        <v>121</v>
      </c>
      <c r="C34" s="286"/>
      <c r="D34" s="287"/>
      <c r="E34" s="283"/>
      <c r="F34" s="286"/>
      <c r="G34" s="287"/>
      <c r="H34" s="283"/>
      <c r="I34" s="286"/>
      <c r="J34" s="287"/>
      <c r="K34" s="283"/>
      <c r="L34" s="300"/>
      <c r="M34" s="301"/>
      <c r="N34" s="283"/>
      <c r="O34" s="265">
        <v>220</v>
      </c>
      <c r="P34" s="202"/>
      <c r="X34" s="97"/>
    </row>
    <row r="35" spans="1:24" ht="15.75" customHeight="1" x14ac:dyDescent="0.25">
      <c r="A35" s="466"/>
      <c r="B35" s="279" t="s">
        <v>122</v>
      </c>
      <c r="C35" s="286"/>
      <c r="D35" s="287"/>
      <c r="E35" s="283"/>
      <c r="F35" s="286"/>
      <c r="G35" s="287"/>
      <c r="H35" s="283"/>
      <c r="I35" s="286"/>
      <c r="J35" s="287"/>
      <c r="K35" s="283"/>
      <c r="L35" s="300"/>
      <c r="M35" s="301"/>
      <c r="N35" s="283"/>
      <c r="O35" s="265">
        <v>150</v>
      </c>
      <c r="P35" s="202"/>
    </row>
    <row r="36" spans="1:24" ht="15.75" customHeight="1" x14ac:dyDescent="0.25">
      <c r="A36" s="466"/>
      <c r="B36" s="279" t="s">
        <v>123</v>
      </c>
      <c r="C36" s="286"/>
      <c r="D36" s="287"/>
      <c r="E36" s="283"/>
      <c r="F36" s="286"/>
      <c r="G36" s="287"/>
      <c r="H36" s="283"/>
      <c r="I36" s="286"/>
      <c r="J36" s="287"/>
      <c r="K36" s="283"/>
      <c r="L36" s="300"/>
      <c r="M36" s="301"/>
      <c r="N36" s="283"/>
      <c r="O36" s="265">
        <v>1200</v>
      </c>
      <c r="P36" s="202"/>
    </row>
    <row r="37" spans="1:24" ht="15.75" customHeight="1" x14ac:dyDescent="0.25">
      <c r="A37" s="467"/>
      <c r="B37" s="281" t="s">
        <v>124</v>
      </c>
      <c r="C37" s="288"/>
      <c r="D37" s="289"/>
      <c r="E37" s="283"/>
      <c r="F37" s="288"/>
      <c r="G37" s="289"/>
      <c r="H37" s="283"/>
      <c r="I37" s="288"/>
      <c r="J37" s="289"/>
      <c r="K37" s="283"/>
      <c r="L37" s="302"/>
      <c r="M37" s="303"/>
      <c r="N37" s="283"/>
      <c r="O37" s="275">
        <v>800</v>
      </c>
      <c r="P37" s="276"/>
      <c r="X37" s="97"/>
    </row>
    <row r="38" spans="1:24" ht="15.75" thickBot="1" x14ac:dyDescent="0.3">
      <c r="A38" s="81"/>
      <c r="B38" s="248" t="s">
        <v>195</v>
      </c>
      <c r="C38" s="252">
        <f>(C23*D23)+(C24*D24)+(C25*D25)+(C26*D26)+(C27*D27)+(C28*D28)+(C29*D29)+(C30*D30)+(C31*D31)+(C32*D32)+(C33*D33)+(C34*D34)+(C35*D35)+(C36*D36)+(C37*D37)</f>
        <v>0</v>
      </c>
      <c r="D38" s="251">
        <f>SUM(D23:D37)</f>
        <v>0</v>
      </c>
      <c r="E38" s="274"/>
      <c r="F38" s="252">
        <f>(F23*G23)+(F24*G24)+(F25*G25)+(F26*G26)+(F27*G27)+(F28*G28)+(F29*G29)+(F30*G30)+(F31*G31)+(F32*G32)+(F33*G33)+(F34*G34)+(F35*G35)+(F36*G36)+(F37*G37)</f>
        <v>0</v>
      </c>
      <c r="G38" s="251">
        <f>SUM(G23:G37)</f>
        <v>0</v>
      </c>
      <c r="H38" s="274"/>
      <c r="I38" s="252">
        <f>(I23*J23)+(I24*J24)+(I25*J25)+(I26*J26)+(I27*J27)+(I28*J28)+(I29*J29)+(I30*J30)+(I31*J31)+(I32*J32)+(I33*J33)+(I34*J34)+(I35*J35)+(I36*J36)+(I37*J37)</f>
        <v>0</v>
      </c>
      <c r="J38" s="251">
        <f>SUM(J23:J37)</f>
        <v>0</v>
      </c>
      <c r="K38" s="274"/>
      <c r="L38" s="252">
        <f>(L23*M23)+(L24*M24)+(L25*M25)+(L26*M26)+(L27*M27)+(L28*M28)+(L29*M29)+(L30*M30)+(L31*M31)+(L32*M32)+(L33*M33)+(L34*M34)+(L35*M35)+(L36*M36)+(L37*M37)</f>
        <v>0</v>
      </c>
      <c r="M38" s="251">
        <f>SUM(M23:M37)</f>
        <v>0</v>
      </c>
      <c r="N38" s="274"/>
      <c r="O38" s="252">
        <f>(O23*P23)+(O24*P24)+(O25*P25)+(O26*P26)+(O27*P27)+(O28*P28)+(O29*P29)+(O30*P30)+(O31*P31)+(O32*P32)+(O33*P33)+(O34*P34)+(O35*P35)+(O36*P36)+(O37*P37)</f>
        <v>0</v>
      </c>
      <c r="P38" s="251">
        <f>SUM(P23:P37)</f>
        <v>0</v>
      </c>
      <c r="U38" s="97"/>
    </row>
    <row r="39" spans="1:24" ht="21" x14ac:dyDescent="0.35">
      <c r="D39" s="244" t="s">
        <v>157</v>
      </c>
      <c r="E39" s="245" t="str">
        <f>IF(COUNTIF(D15,"&gt;0")+COUNTIF(G15,"&gt;0")+COUNTIF(J15,"&gt;0")+COUNTIF(M15,"&gt;0")+COUNTIF(P15,"&gt;0")&gt;1,"MUST SELECT ALL OPTIONS FROM SAME CARRIAGE TYPE COLUMN", IF((AND(D38&gt;0, G15=0, J15=0, M15=0))+(AND(G38&gt;0, D15=0, J15=0, M15=0))+(AND(J38&gt;0, D15=0, G15=0, M15=0))+(AND(M38&gt;0, D15=0, G15=0, J15=0))&gt;=1, IF(COUNTIF(D38, "&gt;0")+COUNTIF(G38, "&gt;0")+COUNTIF(J38, "&gt;0")+COUNTIF(M38, "&gt;0")+COUNTIF(P38, "&gt;0")&gt;1, "MUST SELECT ALL CARRIAGE OPTIONS FROM SAME MACHINE COLUMN", IF(COUNTIF(D23,"&gt;0")+COUNTIF(G23,"&gt;0")+COUNTIF(J23, "&gt;0")+COUNTIF(M23, "&gt;0")+COUNTIF(P23, "&gt;0")&gt;1, "MUST SELECT SKEW BAR KIT FROM SAME MACHINE COLUMN", IF(COUNTIF(G24:G25,"&gt;0")+COUNTIF(J24:J25,"&gt;0")+COUNTIF(M25, "&gt;0")&gt;1, "ROTA-VIBE(S) MUST BE SAME SIZE", IF(COUNTIF(J27:J30, "&gt;0")&gt;1, "SELECT ONE DRAG PAN OPTION PER CARRIAGE", IF(OR(J27&gt;1, J28&gt;1, J29&gt;1, J30&gt;1), "VERIFY MULTIPLE CARRIAGES SELECTED ABOVE", "NONE"))))), "SELECT CARRIAGE OPTIONS OR MUST SELECT VALUES FROM SAME MACHINE COLUMNS"))</f>
        <v>SELECT CARRIAGE OPTIONS OR MUST SELECT VALUES FROM SAME MACHINE COLUMNS</v>
      </c>
      <c r="F39" s="86"/>
      <c r="I39" s="86"/>
      <c r="U39" s="97"/>
    </row>
    <row r="40" spans="1:24" ht="21" x14ac:dyDescent="0.35">
      <c r="D40" s="246" t="s">
        <v>146</v>
      </c>
      <c r="E40" s="247" t="str">
        <f>IF(M31+P32&lt;1, "1 PER CARRIAGE.  A 1 OR HIGHER MEANS NO SPUD VIBRATION PRESENT AND REMOVES THIS WEIGHT", "NONE")</f>
        <v>1 PER CARRIAGE.  A 1 OR HIGHER MEANS NO SPUD VIBRATION PRESENT AND REMOVES THIS WEIGHT</v>
      </c>
      <c r="U40" s="97"/>
    </row>
    <row r="41" spans="1:24" ht="21" x14ac:dyDescent="0.35">
      <c r="D41" s="246" t="s">
        <v>147</v>
      </c>
      <c r="E41" s="247" t="str">
        <f>IF(COUNTIF(P33:P34, "&gt;0")&gt;1, "7000 OPTION ONLY: SELECT ONE DRAG PAN SEAT OPTION PER CARRIAGE", IF(OR(P33&gt;1, P34&gt;1), "VERIFY MULTIPLE CARRIAGES SELECTED ABOVE", "NONE"))</f>
        <v>NONE</v>
      </c>
      <c r="G41" s="97"/>
      <c r="H41" s="97"/>
      <c r="U41" s="97"/>
    </row>
    <row r="42" spans="1:24" x14ac:dyDescent="0.25">
      <c r="B42" s="87"/>
      <c r="C42" s="86"/>
      <c r="U42" s="97"/>
    </row>
    <row r="43" spans="1:24" x14ac:dyDescent="0.25">
      <c r="A43" s="414" t="s">
        <v>70</v>
      </c>
      <c r="B43" s="414"/>
      <c r="C43" s="414"/>
      <c r="D43" s="414"/>
      <c r="E43" s="414"/>
      <c r="F43" s="414"/>
      <c r="G43" s="414"/>
      <c r="H43" s="414"/>
      <c r="I43" s="414"/>
      <c r="J43" s="414"/>
      <c r="K43" s="153"/>
    </row>
    <row r="44" spans="1:24" x14ac:dyDescent="0.25">
      <c r="A44" s="414"/>
      <c r="B44" s="414"/>
      <c r="C44" s="414"/>
      <c r="D44" s="414"/>
      <c r="E44" s="414"/>
      <c r="F44" s="414"/>
      <c r="G44" s="414"/>
      <c r="H44" s="414"/>
      <c r="I44" s="414"/>
      <c r="J44" s="414"/>
      <c r="K44" s="153"/>
    </row>
    <row r="46" spans="1:24" ht="18.75" customHeight="1" x14ac:dyDescent="0.25"/>
    <row r="47" spans="1:24" ht="16.5" customHeight="1" x14ac:dyDescent="0.25"/>
  </sheetData>
  <sheetProtection password="E89C" sheet="1" objects="1" scenarios="1" selectLockedCells="1"/>
  <mergeCells count="25">
    <mergeCell ref="I4:J4"/>
    <mergeCell ref="A33:A37"/>
    <mergeCell ref="C21:D21"/>
    <mergeCell ref="F21:G21"/>
    <mergeCell ref="I21:J21"/>
    <mergeCell ref="A24:A25"/>
    <mergeCell ref="A27:A30"/>
    <mergeCell ref="C7:D7"/>
    <mergeCell ref="F7:G7"/>
    <mergeCell ref="I7:J7"/>
    <mergeCell ref="A12:A14"/>
    <mergeCell ref="A9:A11"/>
    <mergeCell ref="C6:P6"/>
    <mergeCell ref="L7:M7"/>
    <mergeCell ref="O7:P7"/>
    <mergeCell ref="L20:P20"/>
    <mergeCell ref="C18:P18"/>
    <mergeCell ref="C20:G20"/>
    <mergeCell ref="I20:J20"/>
    <mergeCell ref="A43:J44"/>
    <mergeCell ref="C19:J19"/>
    <mergeCell ref="L19:M19"/>
    <mergeCell ref="O19:P19"/>
    <mergeCell ref="L21:M21"/>
    <mergeCell ref="O21:P21"/>
  </mergeCells>
  <pageMargins left="0.7" right="0.7" top="0.75" bottom="0.75" header="0.3" footer="0.3"/>
  <pageSetup scale="65" orientation="landscape" r:id="rId1"/>
  <headerFooter alignWithMargins="0">
    <oddHeader>&amp;LBID-WELL: A TEREX Company
PO Box 97, Canton, SD 57013&amp;CPAVER WHEEL LOAD
WEIGHT CALCULATOR&amp;R&amp;F
KJK 093016</oddHeader>
    <oddFooter>&amp;LTab: &amp;A&amp;CPage &amp;P of &amp;N&amp;RPrinted: &amp;D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29"/>
  <sheetViews>
    <sheetView zoomScale="85" zoomScaleNormal="85" zoomScaleSheetLayoutView="100" zoomScalePageLayoutView="55" workbookViewId="0">
      <selection activeCell="D16" sqref="D16"/>
    </sheetView>
  </sheetViews>
  <sheetFormatPr defaultRowHeight="15" x14ac:dyDescent="0.25"/>
  <cols>
    <col min="1" max="1" width="13.7109375" customWidth="1"/>
    <col min="2" max="2" width="26" customWidth="1"/>
    <col min="4" max="5" width="9.140625" customWidth="1"/>
    <col min="7" max="8" width="9.140625" customWidth="1"/>
    <col min="10" max="11" width="9.140625" customWidth="1"/>
    <col min="13" max="14" width="9.140625" customWidth="1"/>
    <col min="16" max="16" width="9.140625" customWidth="1"/>
  </cols>
  <sheetData>
    <row r="1" spans="1:15" ht="15.75" thickBot="1" x14ac:dyDescent="0.3"/>
    <row r="2" spans="1:15" ht="16.5" thickBot="1" x14ac:dyDescent="0.3">
      <c r="C2" s="439" t="s">
        <v>162</v>
      </c>
      <c r="D2" s="441"/>
    </row>
    <row r="3" spans="1:15" ht="15.75" thickBot="1" x14ac:dyDescent="0.3"/>
    <row r="4" spans="1:15" ht="27" thickBot="1" x14ac:dyDescent="0.45">
      <c r="B4" s="456" t="s">
        <v>220</v>
      </c>
      <c r="C4" s="457"/>
      <c r="D4" s="457"/>
      <c r="E4" s="457"/>
      <c r="F4" s="457"/>
      <c r="G4" s="457"/>
      <c r="H4" s="457"/>
      <c r="I4" s="457"/>
      <c r="J4" s="457"/>
      <c r="K4" s="457"/>
      <c r="L4" s="457"/>
      <c r="M4" s="457"/>
      <c r="N4" s="457"/>
      <c r="O4" s="458"/>
    </row>
    <row r="5" spans="1:15" ht="21" x14ac:dyDescent="0.25">
      <c r="A5" s="324"/>
      <c r="B5" s="464">
        <v>2450</v>
      </c>
      <c r="C5" s="465"/>
      <c r="D5" s="243"/>
      <c r="E5" s="464">
        <v>3600</v>
      </c>
      <c r="F5" s="465"/>
      <c r="G5" s="243"/>
      <c r="H5" s="464">
        <v>4800</v>
      </c>
      <c r="I5" s="465"/>
      <c r="J5" s="243"/>
      <c r="K5" s="464" t="s">
        <v>132</v>
      </c>
      <c r="L5" s="465"/>
      <c r="M5" s="243"/>
      <c r="N5" s="480" t="s">
        <v>221</v>
      </c>
      <c r="O5" s="481">
        <v>6500</v>
      </c>
    </row>
    <row r="6" spans="1:15" ht="31.5" x14ac:dyDescent="0.25">
      <c r="A6" s="332"/>
      <c r="B6" s="161" t="s">
        <v>2</v>
      </c>
      <c r="C6" s="160" t="s">
        <v>3</v>
      </c>
      <c r="D6" s="273"/>
      <c r="E6" s="161" t="s">
        <v>2</v>
      </c>
      <c r="F6" s="160" t="s">
        <v>3</v>
      </c>
      <c r="G6" s="273"/>
      <c r="H6" s="161" t="s">
        <v>2</v>
      </c>
      <c r="I6" s="160" t="s">
        <v>3</v>
      </c>
      <c r="J6" s="273"/>
      <c r="K6" s="161" t="s">
        <v>2</v>
      </c>
      <c r="L6" s="160" t="s">
        <v>3</v>
      </c>
      <c r="M6" s="273"/>
      <c r="N6" s="161" t="s">
        <v>2</v>
      </c>
      <c r="O6" s="160" t="s">
        <v>3</v>
      </c>
    </row>
    <row r="7" spans="1:15" x14ac:dyDescent="0.25">
      <c r="A7" s="329" t="s">
        <v>126</v>
      </c>
      <c r="B7" s="261">
        <v>1175</v>
      </c>
      <c r="C7" s="209">
        <v>0</v>
      </c>
      <c r="D7" s="402"/>
      <c r="E7" s="261">
        <v>1275</v>
      </c>
      <c r="F7" s="209">
        <v>1</v>
      </c>
      <c r="G7" s="402"/>
      <c r="H7" s="261">
        <v>1281</v>
      </c>
      <c r="I7" s="209">
        <v>0</v>
      </c>
      <c r="J7" s="402"/>
      <c r="K7" s="261">
        <v>3601</v>
      </c>
      <c r="L7" s="209"/>
      <c r="M7" s="402"/>
      <c r="N7" s="331"/>
      <c r="O7" s="309"/>
    </row>
    <row r="8" spans="1:15" ht="15.75" thickBot="1" x14ac:dyDescent="0.3">
      <c r="A8" s="330" t="s">
        <v>125</v>
      </c>
      <c r="B8" s="333">
        <v>1275</v>
      </c>
      <c r="C8" s="334">
        <v>0</v>
      </c>
      <c r="D8" s="402"/>
      <c r="E8" s="333">
        <v>1375</v>
      </c>
      <c r="F8" s="334"/>
      <c r="G8" s="402"/>
      <c r="H8" s="333">
        <v>1381</v>
      </c>
      <c r="I8" s="334"/>
      <c r="J8" s="402"/>
      <c r="K8" s="333">
        <v>3719</v>
      </c>
      <c r="L8" s="334"/>
      <c r="M8" s="402"/>
      <c r="N8" s="333">
        <v>3819</v>
      </c>
      <c r="O8" s="334"/>
    </row>
    <row r="9" spans="1:15" ht="15.75" thickBot="1" x14ac:dyDescent="0.3">
      <c r="A9" s="323"/>
      <c r="B9" s="159"/>
      <c r="C9" s="392"/>
      <c r="D9" s="392"/>
      <c r="E9" s="159"/>
      <c r="F9" s="392"/>
      <c r="G9" s="392"/>
      <c r="H9" s="159"/>
      <c r="I9" s="392"/>
      <c r="J9" s="392"/>
      <c r="K9" s="159"/>
      <c r="L9" s="392"/>
      <c r="M9" s="392"/>
      <c r="N9" s="159"/>
      <c r="O9" s="392"/>
    </row>
    <row r="10" spans="1:15" ht="15.75" thickBot="1" x14ac:dyDescent="0.3">
      <c r="A10" s="248" t="s">
        <v>222</v>
      </c>
      <c r="B10" s="326">
        <f>IF((C7+C8+F7+F8+I7+I8+L7+L8+O8)&gt;1, "Error", MAX((B7*C7)+(E7*F7)+(H7*I7)+(K7*L7)+(N7*O7), (B8*C8)+(E8*F8)+(H8*I8)+(K8*L8)+(N8*O8)))</f>
        <v>1275</v>
      </c>
      <c r="C10" s="335">
        <f>IF((C7+F7+I7+L7+O7+C8+F8+I8+L8+O8)&gt;1, "Error", (C7+F7+I7+L7+O7+C8+F8+I8+L8+O8))</f>
        <v>1</v>
      </c>
      <c r="D10" s="242"/>
      <c r="J10" s="242"/>
      <c r="K10" s="242"/>
      <c r="L10" s="242"/>
      <c r="M10" s="242"/>
      <c r="N10" s="242"/>
      <c r="O10" s="242"/>
    </row>
    <row r="12" spans="1:15" ht="21" x14ac:dyDescent="0.35">
      <c r="A12" s="242"/>
      <c r="B12" s="191" t="s">
        <v>143</v>
      </c>
      <c r="C12" s="192" t="str">
        <f>IF(C10&gt;1, "SELECT ONLY ONE POWER UNIT", "NONE")</f>
        <v>NONE</v>
      </c>
    </row>
    <row r="13" spans="1:15" ht="15.75" thickBot="1" x14ac:dyDescent="0.3"/>
    <row r="14" spans="1:15" ht="27" thickBot="1" x14ac:dyDescent="0.3">
      <c r="A14" s="477" t="s">
        <v>219</v>
      </c>
      <c r="B14" s="478"/>
      <c r="C14" s="478"/>
      <c r="D14" s="479"/>
    </row>
    <row r="15" spans="1:15" ht="31.5" x14ac:dyDescent="0.25">
      <c r="A15" s="90"/>
      <c r="B15" s="336"/>
      <c r="C15" s="156" t="s">
        <v>2</v>
      </c>
      <c r="D15" s="157" t="s">
        <v>3</v>
      </c>
    </row>
    <row r="16" spans="1:15" x14ac:dyDescent="0.25">
      <c r="A16" s="472" t="s">
        <v>144</v>
      </c>
      <c r="B16" s="221" t="s">
        <v>111</v>
      </c>
      <c r="C16" s="207">
        <v>1035</v>
      </c>
      <c r="D16" s="209">
        <v>1</v>
      </c>
    </row>
    <row r="17" spans="1:8" x14ac:dyDescent="0.25">
      <c r="A17" s="473"/>
      <c r="B17" s="222" t="s">
        <v>112</v>
      </c>
      <c r="C17" s="204">
        <v>1101</v>
      </c>
      <c r="D17" s="206"/>
    </row>
    <row r="18" spans="1:8" x14ac:dyDescent="0.25">
      <c r="A18" s="474" t="s">
        <v>140</v>
      </c>
      <c r="B18" s="221" t="s">
        <v>138</v>
      </c>
      <c r="C18" s="207">
        <v>900</v>
      </c>
      <c r="D18" s="209"/>
    </row>
    <row r="19" spans="1:8" x14ac:dyDescent="0.25">
      <c r="A19" s="475"/>
      <c r="B19" s="337" t="s">
        <v>128</v>
      </c>
      <c r="C19" s="200">
        <v>860</v>
      </c>
      <c r="D19" s="202"/>
    </row>
    <row r="20" spans="1:8" x14ac:dyDescent="0.25">
      <c r="A20" s="475" t="s">
        <v>139</v>
      </c>
      <c r="B20" s="337" t="s">
        <v>138</v>
      </c>
      <c r="C20" s="200">
        <v>1560</v>
      </c>
      <c r="D20" s="202"/>
    </row>
    <row r="21" spans="1:8" x14ac:dyDescent="0.25">
      <c r="A21" s="476"/>
      <c r="B21" s="222" t="s">
        <v>128</v>
      </c>
      <c r="C21" s="204">
        <v>1520</v>
      </c>
      <c r="D21" s="206"/>
    </row>
    <row r="22" spans="1:8" ht="15.75" thickBot="1" x14ac:dyDescent="0.3">
      <c r="A22" s="338" t="s">
        <v>177</v>
      </c>
      <c r="B22" s="105" t="s">
        <v>137</v>
      </c>
      <c r="C22" s="328">
        <v>2301</v>
      </c>
      <c r="D22" s="259"/>
    </row>
    <row r="23" spans="1:8" ht="15.75" thickBot="1" x14ac:dyDescent="0.3">
      <c r="A23" s="101"/>
      <c r="B23" s="339" t="s">
        <v>78</v>
      </c>
      <c r="C23" s="158">
        <f>(C16*D16)+(C17*D17)+(C18*D18)+(C19*D19)+(C20*D20)+(C21*D21)+(C22*D22)</f>
        <v>1035</v>
      </c>
      <c r="D23" s="327">
        <f>SUM(D16:D22)</f>
        <v>1</v>
      </c>
    </row>
    <row r="24" spans="1:8" ht="23.25" x14ac:dyDescent="0.35">
      <c r="B24" s="321" t="s">
        <v>141</v>
      </c>
      <c r="C24" s="322" t="str">
        <f>IF(D16&gt;1, "SELECT 1 FOGGER ONLY", "NONE")</f>
        <v>NONE</v>
      </c>
    </row>
    <row r="25" spans="1:8" ht="23.25" x14ac:dyDescent="0.35">
      <c r="B25" s="321" t="s">
        <v>142</v>
      </c>
      <c r="C25" s="322" t="str">
        <f>IF(SUM(D18:D21)&gt;1, "SELECT ONLY ONE WASHER TYPE", "NONE")</f>
        <v>NONE</v>
      </c>
    </row>
    <row r="26" spans="1:8" ht="23.25" x14ac:dyDescent="0.35">
      <c r="B26" s="321" t="s">
        <v>182</v>
      </c>
      <c r="C26" s="322" t="str">
        <f>IF(D22&gt;0, "NOSE WHEEL WEIGHT PLACED AT R2\IDLER SIDE LEGS", "NONE")</f>
        <v>NONE</v>
      </c>
    </row>
    <row r="28" spans="1:8" x14ac:dyDescent="0.25">
      <c r="A28" s="414" t="s">
        <v>70</v>
      </c>
      <c r="B28" s="414"/>
      <c r="C28" s="414"/>
      <c r="D28" s="414"/>
      <c r="E28" s="414"/>
      <c r="F28" s="414"/>
      <c r="G28" s="414"/>
      <c r="H28" s="414"/>
    </row>
    <row r="29" spans="1:8" x14ac:dyDescent="0.25">
      <c r="A29" s="414"/>
      <c r="B29" s="414"/>
      <c r="C29" s="414"/>
      <c r="D29" s="414"/>
      <c r="E29" s="414"/>
      <c r="F29" s="414"/>
      <c r="G29" s="414"/>
      <c r="H29" s="414"/>
    </row>
  </sheetData>
  <sheetProtection password="E89C" sheet="1" objects="1" scenarios="1" selectLockedCells="1"/>
  <mergeCells count="12">
    <mergeCell ref="A16:A17"/>
    <mergeCell ref="A18:A19"/>
    <mergeCell ref="C2:D2"/>
    <mergeCell ref="A20:A21"/>
    <mergeCell ref="A28:H29"/>
    <mergeCell ref="A14:D14"/>
    <mergeCell ref="B4:O4"/>
    <mergeCell ref="B5:C5"/>
    <mergeCell ref="E5:F5"/>
    <mergeCell ref="H5:I5"/>
    <mergeCell ref="K5:L5"/>
    <mergeCell ref="N5:O5"/>
  </mergeCells>
  <pageMargins left="0.7" right="0.7" top="0.75" bottom="0.75" header="0.3" footer="0.3"/>
  <pageSetup scale="77" orientation="landscape" r:id="rId1"/>
  <headerFooter alignWithMargins="0">
    <oddHeader>&amp;LBID-WELL: A TEREX Company
PO Box 97, Canton, SD 57013&amp;CPAVER WHEEL LOAD
WEIGHT CALCULATOR&amp;R&amp;F
KJK 033017</oddHeader>
    <oddFooter>&amp;LTab: &amp;A&amp;CPage &amp;P of &amp;N&amp;RPrinted: &amp;D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K55"/>
  <sheetViews>
    <sheetView topLeftCell="A7" zoomScale="85" zoomScaleNormal="85" zoomScalePageLayoutView="85" workbookViewId="0">
      <selection activeCell="H19" sqref="H19"/>
    </sheetView>
  </sheetViews>
  <sheetFormatPr defaultRowHeight="15" x14ac:dyDescent="0.25"/>
  <cols>
    <col min="1" max="1" width="3.7109375" customWidth="1"/>
    <col min="2" max="2" width="13.7109375" customWidth="1"/>
    <col min="3" max="3" width="29.28515625" customWidth="1"/>
    <col min="6" max="6" width="9.140625" style="249"/>
    <col min="9" max="9" width="9.140625" style="249"/>
  </cols>
  <sheetData>
    <row r="1" spans="1:11" ht="16.5" thickBot="1" x14ac:dyDescent="0.3">
      <c r="B1" s="482" t="s">
        <v>173</v>
      </c>
      <c r="C1" s="483"/>
      <c r="D1" s="483"/>
      <c r="E1" s="484"/>
      <c r="F1" s="340"/>
      <c r="G1" s="125"/>
    </row>
    <row r="2" spans="1:11" ht="15.75" x14ac:dyDescent="0.25">
      <c r="B2" s="128"/>
      <c r="C2" s="129" t="s">
        <v>174</v>
      </c>
      <c r="D2" s="130">
        <f>IF(COUNTIF(E22, "&gt;0")+COUNTIF(H22, "&gt;0")+COUNTIF(K22, "&gt;0")&gt;1, "Error", MAX(D22, G22, J22))</f>
        <v>1268</v>
      </c>
      <c r="E2" s="131" t="s">
        <v>0</v>
      </c>
      <c r="G2" s="81"/>
    </row>
    <row r="3" spans="1:11" ht="16.5" thickBot="1" x14ac:dyDescent="0.3">
      <c r="B3" s="104"/>
      <c r="C3" s="126" t="s">
        <v>175</v>
      </c>
      <c r="D3" s="76">
        <f>IF(COUNTIF(E44, "&gt;0")+COUNTIF(H44, "&gt;0")&gt;1, "Error", MAX(D44, G44))</f>
        <v>1080</v>
      </c>
      <c r="E3" s="77" t="s">
        <v>0</v>
      </c>
      <c r="G3" s="81"/>
      <c r="H3" s="81"/>
      <c r="J3" s="81"/>
    </row>
    <row r="4" spans="1:11" ht="16.5" thickBot="1" x14ac:dyDescent="0.3">
      <c r="B4" s="107"/>
      <c r="C4" s="127" t="s">
        <v>176</v>
      </c>
      <c r="D4" s="98">
        <f>D3+D2</f>
        <v>2348</v>
      </c>
      <c r="E4" s="79" t="s">
        <v>0</v>
      </c>
      <c r="G4" s="81"/>
      <c r="H4" s="439" t="s">
        <v>162</v>
      </c>
      <c r="I4" s="440"/>
      <c r="J4" s="441"/>
    </row>
    <row r="5" spans="1:11" ht="16.5" thickBot="1" x14ac:dyDescent="0.3">
      <c r="C5" s="81"/>
      <c r="D5" s="123"/>
      <c r="E5" s="123"/>
      <c r="F5" s="341"/>
      <c r="G5" s="81"/>
      <c r="H5" s="123"/>
      <c r="I5" s="341"/>
      <c r="J5" s="124"/>
      <c r="K5" s="81"/>
    </row>
    <row r="6" spans="1:11" ht="27" thickBot="1" x14ac:dyDescent="0.45">
      <c r="A6" s="81"/>
      <c r="B6" s="81"/>
      <c r="C6" s="81"/>
      <c r="D6" s="456" t="s">
        <v>224</v>
      </c>
      <c r="E6" s="457"/>
      <c r="F6" s="457"/>
      <c r="G6" s="457"/>
      <c r="H6" s="457"/>
      <c r="I6" s="457"/>
      <c r="J6" s="457"/>
      <c r="K6" s="458"/>
    </row>
    <row r="7" spans="1:11" ht="18.75" customHeight="1" x14ac:dyDescent="0.25">
      <c r="A7" s="81"/>
      <c r="B7" s="81"/>
      <c r="C7" s="271"/>
      <c r="D7" s="464" t="s">
        <v>90</v>
      </c>
      <c r="E7" s="465"/>
      <c r="F7" s="241"/>
      <c r="G7" s="464" t="s">
        <v>91</v>
      </c>
      <c r="H7" s="465"/>
      <c r="I7" s="241"/>
      <c r="J7" s="464" t="s">
        <v>92</v>
      </c>
      <c r="K7" s="465"/>
    </row>
    <row r="8" spans="1:11" ht="31.5" x14ac:dyDescent="0.25">
      <c r="A8" s="81"/>
      <c r="B8" s="140"/>
      <c r="C8" s="272"/>
      <c r="D8" s="257" t="s">
        <v>2</v>
      </c>
      <c r="E8" s="258" t="s">
        <v>3</v>
      </c>
      <c r="F8" s="403"/>
      <c r="G8" s="257" t="s">
        <v>2</v>
      </c>
      <c r="H8" s="258" t="s">
        <v>3</v>
      </c>
      <c r="I8" s="403"/>
      <c r="J8" s="257" t="s">
        <v>2</v>
      </c>
      <c r="K8" s="258" t="s">
        <v>3</v>
      </c>
    </row>
    <row r="9" spans="1:11" x14ac:dyDescent="0.25">
      <c r="A9" s="81"/>
      <c r="B9" s="485" t="s">
        <v>71</v>
      </c>
      <c r="C9" s="348" t="s">
        <v>80</v>
      </c>
      <c r="D9" s="349">
        <v>150</v>
      </c>
      <c r="E9" s="350">
        <v>0</v>
      </c>
      <c r="F9" s="402"/>
      <c r="G9" s="349">
        <v>180</v>
      </c>
      <c r="H9" s="350"/>
      <c r="I9" s="402"/>
      <c r="J9" s="300"/>
      <c r="K9" s="301"/>
    </row>
    <row r="10" spans="1:11" x14ac:dyDescent="0.25">
      <c r="A10" s="81"/>
      <c r="B10" s="466"/>
      <c r="C10" s="337" t="s">
        <v>79</v>
      </c>
      <c r="D10" s="264">
        <v>240</v>
      </c>
      <c r="E10" s="202">
        <v>0</v>
      </c>
      <c r="F10" s="402"/>
      <c r="G10" s="264">
        <v>310</v>
      </c>
      <c r="H10" s="202"/>
      <c r="I10" s="402"/>
      <c r="J10" s="300"/>
      <c r="K10" s="301"/>
    </row>
    <row r="11" spans="1:11" x14ac:dyDescent="0.25">
      <c r="A11" s="81"/>
      <c r="B11" s="486"/>
      <c r="C11" s="222" t="s">
        <v>81</v>
      </c>
      <c r="D11" s="267">
        <v>250</v>
      </c>
      <c r="E11" s="206"/>
      <c r="F11" s="402"/>
      <c r="G11" s="267">
        <v>290</v>
      </c>
      <c r="H11" s="206">
        <v>4</v>
      </c>
      <c r="I11" s="402"/>
      <c r="J11" s="300"/>
      <c r="K11" s="301"/>
    </row>
    <row r="12" spans="1:11" x14ac:dyDescent="0.25">
      <c r="A12" s="81"/>
      <c r="B12" s="345" t="s">
        <v>74</v>
      </c>
      <c r="C12" s="89" t="s">
        <v>82</v>
      </c>
      <c r="D12" s="325">
        <v>174</v>
      </c>
      <c r="E12" s="148"/>
      <c r="F12" s="402"/>
      <c r="G12" s="346"/>
      <c r="H12" s="347"/>
      <c r="I12" s="402"/>
      <c r="J12" s="307"/>
      <c r="K12" s="303"/>
    </row>
    <row r="13" spans="1:11" x14ac:dyDescent="0.25">
      <c r="A13" s="81"/>
      <c r="B13" s="487" t="s">
        <v>72</v>
      </c>
      <c r="C13" s="221" t="s">
        <v>83</v>
      </c>
      <c r="D13" s="306"/>
      <c r="E13" s="320"/>
      <c r="F13" s="402"/>
      <c r="G13" s="261">
        <v>336</v>
      </c>
      <c r="H13" s="209"/>
      <c r="I13" s="402"/>
      <c r="J13" s="261">
        <v>437</v>
      </c>
      <c r="K13" s="209">
        <v>0</v>
      </c>
    </row>
    <row r="14" spans="1:11" x14ac:dyDescent="0.25">
      <c r="A14" s="81"/>
      <c r="B14" s="466"/>
      <c r="C14" s="337" t="s">
        <v>84</v>
      </c>
      <c r="D14" s="300"/>
      <c r="E14" s="301"/>
      <c r="F14" s="402"/>
      <c r="G14" s="264">
        <v>481</v>
      </c>
      <c r="H14" s="202"/>
      <c r="I14" s="402"/>
      <c r="J14" s="264">
        <v>588</v>
      </c>
      <c r="K14" s="202"/>
    </row>
    <row r="15" spans="1:11" x14ac:dyDescent="0.25">
      <c r="A15" s="81"/>
      <c r="B15" s="486"/>
      <c r="C15" s="222" t="s">
        <v>85</v>
      </c>
      <c r="D15" s="300"/>
      <c r="E15" s="301"/>
      <c r="F15" s="402"/>
      <c r="G15" s="267">
        <v>510</v>
      </c>
      <c r="H15" s="206"/>
      <c r="I15" s="402"/>
      <c r="J15" s="267">
        <v>560</v>
      </c>
      <c r="K15" s="206">
        <v>0</v>
      </c>
    </row>
    <row r="16" spans="1:11" x14ac:dyDescent="0.25">
      <c r="A16" s="81"/>
      <c r="B16" s="351" t="s">
        <v>75</v>
      </c>
      <c r="C16" s="89" t="s">
        <v>89</v>
      </c>
      <c r="D16" s="300"/>
      <c r="E16" s="301"/>
      <c r="F16" s="402"/>
      <c r="G16" s="346"/>
      <c r="H16" s="347"/>
      <c r="I16" s="402"/>
      <c r="J16" s="325">
        <v>650</v>
      </c>
      <c r="K16" s="148"/>
    </row>
    <row r="17" spans="1:11" x14ac:dyDescent="0.25">
      <c r="A17" s="81"/>
      <c r="B17" s="487" t="s">
        <v>72</v>
      </c>
      <c r="C17" s="221" t="s">
        <v>86</v>
      </c>
      <c r="D17" s="300"/>
      <c r="E17" s="301"/>
      <c r="F17" s="402"/>
      <c r="G17" s="261">
        <v>24</v>
      </c>
      <c r="H17" s="209"/>
      <c r="I17" s="402"/>
      <c r="J17" s="261">
        <v>30</v>
      </c>
      <c r="K17" s="209">
        <v>0</v>
      </c>
    </row>
    <row r="18" spans="1:11" x14ac:dyDescent="0.25">
      <c r="A18" s="81"/>
      <c r="B18" s="486"/>
      <c r="C18" s="222" t="s">
        <v>238</v>
      </c>
      <c r="D18" s="307"/>
      <c r="E18" s="303"/>
      <c r="F18" s="402"/>
      <c r="G18" s="267">
        <v>125</v>
      </c>
      <c r="H18" s="206"/>
      <c r="I18" s="402"/>
      <c r="J18" s="267">
        <v>125</v>
      </c>
      <c r="K18" s="206"/>
    </row>
    <row r="19" spans="1:11" x14ac:dyDescent="0.25">
      <c r="A19" s="81"/>
      <c r="B19" s="487" t="s">
        <v>73</v>
      </c>
      <c r="C19" s="352" t="s">
        <v>87</v>
      </c>
      <c r="D19" s="261">
        <v>54</v>
      </c>
      <c r="E19" s="209"/>
      <c r="F19" s="402"/>
      <c r="G19" s="261">
        <v>54</v>
      </c>
      <c r="H19" s="209">
        <v>2</v>
      </c>
      <c r="I19" s="402"/>
      <c r="J19" s="261">
        <v>54</v>
      </c>
      <c r="K19" s="209">
        <v>0</v>
      </c>
    </row>
    <row r="20" spans="1:11" x14ac:dyDescent="0.25">
      <c r="A20" s="81"/>
      <c r="B20" s="466"/>
      <c r="C20" s="337" t="s">
        <v>88</v>
      </c>
      <c r="D20" s="264">
        <v>175</v>
      </c>
      <c r="E20" s="202"/>
      <c r="F20" s="402"/>
      <c r="G20" s="264">
        <v>108</v>
      </c>
      <c r="H20" s="202"/>
      <c r="I20" s="402"/>
      <c r="J20" s="264">
        <v>108</v>
      </c>
      <c r="K20" s="202">
        <v>0</v>
      </c>
    </row>
    <row r="21" spans="1:11" x14ac:dyDescent="0.25">
      <c r="A21" s="81"/>
      <c r="B21" s="81"/>
      <c r="C21" s="353" t="s">
        <v>77</v>
      </c>
      <c r="D21" s="354">
        <f>(D9*E9)+(D10*E10)+(D11*E11)+(D12*E12)+(D13*E13)+(D14*E14)+(D15*E15)+(D16*E16)</f>
        <v>0</v>
      </c>
      <c r="E21" s="355">
        <f>SUM(E9:E16)</f>
        <v>0</v>
      </c>
      <c r="F21" s="404"/>
      <c r="G21" s="354">
        <f>(G9*H9)+(G10*H10)+(G11*H11)+(G12*H12)+(G13*H13)+(G14*H14)+(G15*H15)+(G16*H16)</f>
        <v>1160</v>
      </c>
      <c r="H21" s="355">
        <f>SUM(H9:H16)</f>
        <v>4</v>
      </c>
      <c r="I21" s="404"/>
      <c r="J21" s="354">
        <f>(J9*K9)+(J10*K10)+(J11*K11)+(J12*K12)+(J13*K13)+(J14*K14)+(J15*K15)+(J16*K16)</f>
        <v>0</v>
      </c>
      <c r="K21" s="355">
        <f>SUM(K9:K16)</f>
        <v>0</v>
      </c>
    </row>
    <row r="22" spans="1:11" ht="15.75" thickBot="1" x14ac:dyDescent="0.3">
      <c r="A22" s="81"/>
      <c r="B22" s="81"/>
      <c r="C22" s="356" t="s">
        <v>78</v>
      </c>
      <c r="D22" s="357">
        <f>(D9*E9)+(D10*E10)+(D11*E11)+(D12*E12)+(D13*E13)+(D14*E14)+(D15*E15)+(D16*E16)+(D17*E17)+(D18*E18)+(D19*E19)+(D20*E20)</f>
        <v>0</v>
      </c>
      <c r="E22" s="358">
        <f>SUM(E9:E20)</f>
        <v>0</v>
      </c>
      <c r="F22" s="404"/>
      <c r="G22" s="357">
        <f>(G9*H9)+(G10*H10)+(G11*H11)+(G12*H12)+(G13*H13)+(G14*H14)+(G15*H15)+(G16*H16)+(G17*H17)+(G18*H18)+(G19*H19)+(G20*H20)</f>
        <v>1268</v>
      </c>
      <c r="H22" s="358">
        <f>SUM(H9:H20)</f>
        <v>6</v>
      </c>
      <c r="I22" s="404"/>
      <c r="J22" s="357">
        <f>(J9*K9)+(J10*K10)+(J11*K11)+(J12*K12)+(J13*K13)+(J14*K14)+(J15*K15)+(J16*K16)+(J17*K17)+(J18*K18)+(J19*K19)+(J20*K20)</f>
        <v>0</v>
      </c>
      <c r="K22" s="358">
        <f>SUM(K9:K20)</f>
        <v>0</v>
      </c>
    </row>
    <row r="23" spans="1:11" ht="21" x14ac:dyDescent="0.25">
      <c r="A23" s="81"/>
      <c r="B23" s="81"/>
      <c r="C23" s="381"/>
      <c r="D23" s="382" t="s">
        <v>76</v>
      </c>
      <c r="E23" s="383" t="str">
        <f>IF((COUNTIF(E21, "&gt;0")+COUNTIF(H21, "&gt;0")+COUNTIF(K21, "&gt;0"))&gt;1, "CANNOT MIX LEGS FROM MULTIPLE MACHINE SIZES", IF(OR(E21=4,H21=4,K21=4), "NONE", "MUST HAVE EXACLTY 4 LEGS"))</f>
        <v>NONE</v>
      </c>
      <c r="F23" s="405"/>
      <c r="G23" s="187"/>
      <c r="H23" s="81"/>
      <c r="I23" s="405"/>
      <c r="J23" s="187"/>
      <c r="K23" s="81"/>
    </row>
    <row r="24" spans="1:11" ht="21" x14ac:dyDescent="0.25">
      <c r="A24" s="81"/>
      <c r="B24" s="81"/>
      <c r="C24" s="381"/>
      <c r="D24" s="382" t="s">
        <v>93</v>
      </c>
      <c r="E24" s="383" t="str">
        <f>IF(OR(H18&gt;0, K18&gt;0), "HYDRAMATION WEIGHT INCLUDES POWER UP/DOWN LEGS", "NONE")</f>
        <v>NONE</v>
      </c>
      <c r="F24" s="405"/>
      <c r="G24" s="81"/>
      <c r="H24" s="81"/>
      <c r="I24" s="405"/>
      <c r="J24" s="81"/>
      <c r="K24" s="81"/>
    </row>
    <row r="25" spans="1:11" ht="15.75" thickBot="1" x14ac:dyDescent="0.3">
      <c r="A25" s="81"/>
      <c r="B25" s="81"/>
      <c r="C25" s="186"/>
      <c r="D25" s="187"/>
      <c r="E25" s="81"/>
      <c r="G25" s="81"/>
      <c r="H25" s="81"/>
      <c r="I25" s="405"/>
      <c r="J25" s="81"/>
      <c r="K25" s="81"/>
    </row>
    <row r="26" spans="1:11" ht="27" thickBot="1" x14ac:dyDescent="0.45">
      <c r="A26" s="81"/>
      <c r="B26" s="81"/>
      <c r="C26" s="81"/>
      <c r="D26" s="498" t="s">
        <v>223</v>
      </c>
      <c r="E26" s="499"/>
      <c r="F26" s="499"/>
      <c r="G26" s="499"/>
      <c r="H26" s="500"/>
      <c r="I26" s="405"/>
      <c r="J26" s="81"/>
      <c r="K26" s="81"/>
    </row>
    <row r="27" spans="1:11" ht="21" x14ac:dyDescent="0.25">
      <c r="A27" s="81"/>
      <c r="B27" s="81"/>
      <c r="C27" s="271"/>
      <c r="D27" s="492" t="s">
        <v>63</v>
      </c>
      <c r="E27" s="493"/>
      <c r="F27" s="376"/>
      <c r="G27" s="492" t="s">
        <v>66</v>
      </c>
      <c r="H27" s="493"/>
      <c r="I27" s="406"/>
      <c r="J27" s="81"/>
      <c r="K27" s="81"/>
    </row>
    <row r="28" spans="1:11" ht="21" x14ac:dyDescent="0.25">
      <c r="A28" s="81"/>
      <c r="B28" s="81"/>
      <c r="C28" s="271"/>
      <c r="D28" s="501" t="s">
        <v>225</v>
      </c>
      <c r="E28" s="502"/>
      <c r="F28" s="384"/>
      <c r="G28" s="501" t="s">
        <v>226</v>
      </c>
      <c r="H28" s="502"/>
      <c r="I28" s="406"/>
      <c r="J28" s="81"/>
      <c r="K28" s="81"/>
    </row>
    <row r="29" spans="1:11" ht="31.5" x14ac:dyDescent="0.25">
      <c r="A29" s="81"/>
      <c r="B29" s="140"/>
      <c r="C29" s="272"/>
      <c r="D29" s="257" t="s">
        <v>2</v>
      </c>
      <c r="E29" s="258" t="s">
        <v>3</v>
      </c>
      <c r="F29" s="403"/>
      <c r="G29" s="257" t="s">
        <v>2</v>
      </c>
      <c r="H29" s="258" t="s">
        <v>3</v>
      </c>
      <c r="I29" s="391"/>
      <c r="J29" s="81"/>
      <c r="K29" s="81"/>
    </row>
    <row r="30" spans="1:11" ht="15" customHeight="1" x14ac:dyDescent="0.25">
      <c r="A30" s="81"/>
      <c r="B30" s="494" t="s">
        <v>109</v>
      </c>
      <c r="C30" s="348" t="s">
        <v>97</v>
      </c>
      <c r="D30" s="360">
        <v>80</v>
      </c>
      <c r="E30" s="361"/>
      <c r="F30" s="407"/>
      <c r="G30" s="360">
        <v>105</v>
      </c>
      <c r="H30" s="361">
        <v>0</v>
      </c>
      <c r="I30" s="405"/>
      <c r="J30" s="81"/>
      <c r="K30" s="81"/>
    </row>
    <row r="31" spans="1:11" ht="15" customHeight="1" x14ac:dyDescent="0.25">
      <c r="A31" s="81"/>
      <c r="B31" s="495"/>
      <c r="C31" s="337" t="s">
        <v>98</v>
      </c>
      <c r="D31" s="362">
        <v>90</v>
      </c>
      <c r="E31" s="363">
        <v>2</v>
      </c>
      <c r="F31" s="407"/>
      <c r="G31" s="362">
        <v>115</v>
      </c>
      <c r="H31" s="363"/>
      <c r="I31" s="405"/>
      <c r="J31" s="81"/>
      <c r="K31" s="81"/>
    </row>
    <row r="32" spans="1:11" ht="15" customHeight="1" x14ac:dyDescent="0.25">
      <c r="A32" s="81"/>
      <c r="B32" s="491"/>
      <c r="C32" s="222" t="s">
        <v>99</v>
      </c>
      <c r="D32" s="364"/>
      <c r="E32" s="365"/>
      <c r="F32" s="407"/>
      <c r="G32" s="366">
        <v>160</v>
      </c>
      <c r="H32" s="367"/>
      <c r="I32" s="405"/>
      <c r="J32" s="81"/>
      <c r="K32" s="81"/>
    </row>
    <row r="33" spans="1:11" ht="15" customHeight="1" x14ac:dyDescent="0.25">
      <c r="A33" s="81"/>
      <c r="B33" s="496" t="s">
        <v>108</v>
      </c>
      <c r="C33" s="221" t="s">
        <v>94</v>
      </c>
      <c r="D33" s="368">
        <v>140</v>
      </c>
      <c r="E33" s="369"/>
      <c r="F33" s="407"/>
      <c r="G33" s="368">
        <v>175</v>
      </c>
      <c r="H33" s="369">
        <v>0</v>
      </c>
      <c r="I33" s="405"/>
      <c r="J33" s="81"/>
      <c r="K33" s="81"/>
    </row>
    <row r="34" spans="1:11" ht="15" customHeight="1" x14ac:dyDescent="0.25">
      <c r="A34" s="81"/>
      <c r="B34" s="495"/>
      <c r="C34" s="337" t="s">
        <v>95</v>
      </c>
      <c r="D34" s="362">
        <v>150</v>
      </c>
      <c r="E34" s="363"/>
      <c r="F34" s="407"/>
      <c r="G34" s="362">
        <v>185</v>
      </c>
      <c r="H34" s="363"/>
      <c r="I34" s="405"/>
      <c r="J34" s="81"/>
      <c r="K34" s="81"/>
    </row>
    <row r="35" spans="1:11" ht="15" customHeight="1" x14ac:dyDescent="0.25">
      <c r="A35" s="81"/>
      <c r="B35" s="491"/>
      <c r="C35" s="222" t="s">
        <v>96</v>
      </c>
      <c r="D35" s="366">
        <v>190</v>
      </c>
      <c r="E35" s="367">
        <v>2</v>
      </c>
      <c r="F35" s="407"/>
      <c r="G35" s="366">
        <v>224</v>
      </c>
      <c r="H35" s="367"/>
      <c r="I35" s="405"/>
      <c r="J35" s="81"/>
      <c r="K35" s="81"/>
    </row>
    <row r="36" spans="1:11" ht="15" customHeight="1" x14ac:dyDescent="0.25">
      <c r="A36" s="81"/>
      <c r="B36" s="488" t="s">
        <v>75</v>
      </c>
      <c r="C36" s="221" t="s">
        <v>100</v>
      </c>
      <c r="D36" s="377"/>
      <c r="E36" s="378"/>
      <c r="F36" s="407"/>
      <c r="G36" s="368">
        <v>1500</v>
      </c>
      <c r="H36" s="369"/>
      <c r="I36" s="405"/>
      <c r="J36" s="81"/>
      <c r="K36" s="81"/>
    </row>
    <row r="37" spans="1:11" ht="15" customHeight="1" x14ac:dyDescent="0.25">
      <c r="A37" s="81"/>
      <c r="B37" s="489"/>
      <c r="C37" s="370" t="s">
        <v>101</v>
      </c>
      <c r="D37" s="343"/>
      <c r="E37" s="344"/>
      <c r="F37" s="407"/>
      <c r="G37" s="371">
        <v>1500</v>
      </c>
      <c r="H37" s="372"/>
      <c r="I37" s="405"/>
      <c r="J37" s="81"/>
      <c r="K37" s="81"/>
    </row>
    <row r="38" spans="1:11" ht="15" customHeight="1" x14ac:dyDescent="0.25">
      <c r="A38" s="81"/>
      <c r="B38" s="490" t="s">
        <v>73</v>
      </c>
      <c r="C38" s="348" t="s">
        <v>102</v>
      </c>
      <c r="D38" s="360">
        <v>55</v>
      </c>
      <c r="E38" s="361">
        <v>4</v>
      </c>
      <c r="F38" s="407"/>
      <c r="G38" s="360">
        <v>55</v>
      </c>
      <c r="H38" s="361"/>
      <c r="I38" s="405"/>
      <c r="J38" s="81"/>
      <c r="K38" s="81"/>
    </row>
    <row r="39" spans="1:11" ht="15" customHeight="1" x14ac:dyDescent="0.25">
      <c r="A39" s="81"/>
      <c r="B39" s="491"/>
      <c r="C39" s="222" t="s">
        <v>103</v>
      </c>
      <c r="D39" s="366">
        <v>75</v>
      </c>
      <c r="E39" s="367">
        <v>4</v>
      </c>
      <c r="F39" s="407"/>
      <c r="G39" s="366">
        <v>75</v>
      </c>
      <c r="H39" s="367"/>
      <c r="I39" s="405"/>
      <c r="J39" s="81"/>
      <c r="K39" s="81"/>
    </row>
    <row r="40" spans="1:11" ht="15" customHeight="1" x14ac:dyDescent="0.25">
      <c r="A40" s="81"/>
      <c r="B40" s="496" t="s">
        <v>183</v>
      </c>
      <c r="C40" s="221" t="s">
        <v>184</v>
      </c>
      <c r="D40" s="368">
        <v>840</v>
      </c>
      <c r="E40" s="369"/>
      <c r="F40" s="407"/>
      <c r="G40" s="368">
        <v>840</v>
      </c>
      <c r="H40" s="369"/>
      <c r="I40" s="405"/>
      <c r="J40" s="81"/>
      <c r="K40" s="81"/>
    </row>
    <row r="41" spans="1:11" ht="15" customHeight="1" x14ac:dyDescent="0.25">
      <c r="A41" s="81"/>
      <c r="B41" s="497"/>
      <c r="C41" s="222" t="s">
        <v>185</v>
      </c>
      <c r="D41" s="366">
        <v>2500</v>
      </c>
      <c r="E41" s="367"/>
      <c r="F41" s="407"/>
      <c r="G41" s="366">
        <v>2500</v>
      </c>
      <c r="H41" s="367"/>
      <c r="I41" s="405"/>
      <c r="J41" s="81"/>
      <c r="K41" s="81"/>
    </row>
    <row r="42" spans="1:11" ht="15" customHeight="1" x14ac:dyDescent="0.25">
      <c r="A42" s="81"/>
      <c r="B42" s="81"/>
      <c r="C42" s="353" t="s">
        <v>105</v>
      </c>
      <c r="D42" s="354">
        <f>(D33*E33)+(D34*E34)+(D35*E35)</f>
        <v>380</v>
      </c>
      <c r="E42" s="355">
        <f>SUM(E33:E35)</f>
        <v>2</v>
      </c>
      <c r="F42" s="404"/>
      <c r="G42" s="354">
        <f>(G33*H33)+(G34*H34)+(G35*H35)</f>
        <v>0</v>
      </c>
      <c r="H42" s="355">
        <f>SUM(H33:H35)</f>
        <v>0</v>
      </c>
      <c r="I42" s="393"/>
      <c r="J42" s="81"/>
      <c r="K42" s="81"/>
    </row>
    <row r="43" spans="1:11" ht="15" customHeight="1" x14ac:dyDescent="0.25">
      <c r="A43" s="81"/>
      <c r="B43" s="81"/>
      <c r="C43" s="373" t="s">
        <v>106</v>
      </c>
      <c r="D43" s="374">
        <f>(D30*E30)+(D31*E31)+(D32*E32)+(D33*E33)+(D34*E34)+(D35*E35)+(D36*E36)+(D37*E37)</f>
        <v>560</v>
      </c>
      <c r="E43" s="375">
        <f>SUM(E30:E37)</f>
        <v>4</v>
      </c>
      <c r="F43" s="404"/>
      <c r="G43" s="374">
        <f>(G30*H30)+(G31*H31)+(G32*H32)+(G33*H33)+(G34*H34)+(G35*H35)+(G36*H36)+(G37*H37)</f>
        <v>0</v>
      </c>
      <c r="H43" s="375">
        <f>SUM(H30:H37)</f>
        <v>0</v>
      </c>
      <c r="I43" s="393"/>
      <c r="J43" s="81"/>
      <c r="K43" s="81"/>
    </row>
    <row r="44" spans="1:11" ht="15" customHeight="1" thickBot="1" x14ac:dyDescent="0.3">
      <c r="A44" s="81"/>
      <c r="B44" s="81"/>
      <c r="C44" s="356" t="s">
        <v>78</v>
      </c>
      <c r="D44" s="357">
        <f>(D30*E30)+(D31*E31)+(D32*E32)+(D33*E33)+(D34*E34)+(D35*E35)+(D36*E36)+(D37*E37)+(D38*E38)+(D39*E39)+(D40*E40)+(D41*E41)</f>
        <v>1080</v>
      </c>
      <c r="E44" s="358">
        <f>SUM(E30:E41)</f>
        <v>12</v>
      </c>
      <c r="F44" s="359"/>
      <c r="G44" s="357">
        <f>(G30*H30)+(G31*H31)+(G32*H32)+(G33*H33)+(G34*H34)+(G35*H35)+(G36*H36)+(G37*H37)+(G38*H38)+(G39*H39)+(G40*H40)+(G41*H41)</f>
        <v>0</v>
      </c>
      <c r="H44" s="358">
        <f>SUM(H30:H41)</f>
        <v>0</v>
      </c>
      <c r="I44" s="165"/>
      <c r="J44" s="81"/>
      <c r="K44" s="81"/>
    </row>
    <row r="45" spans="1:11" ht="21" x14ac:dyDescent="0.25">
      <c r="D45" s="379" t="s">
        <v>104</v>
      </c>
      <c r="E45" s="380" t="str">
        <f>IF((COUNTIF(E43, "&gt;0")+COUNTIF(H43, "&gt;0"))&gt;1, "CANNOT MIX BOGIES FROM MULTIPLE MACHINE SIZES", IF(OR(E43=4,H43=4), "NONE", "A MINIMUM MIX OF 4 BOGIES ARE REQUIRED"))</f>
        <v>NONE</v>
      </c>
    </row>
    <row r="46" spans="1:11" ht="15" customHeight="1" x14ac:dyDescent="0.25">
      <c r="D46" s="379" t="s">
        <v>107</v>
      </c>
      <c r="E46" s="380" t="str">
        <f>IF((COUNTIF(E42, "&gt;0")+COUNTIF(H42, "&gt;0"))&gt;1, "CANNOT MIX BOGIES FROM MULTIPLE MACHINE SIZES", IF(OR(E42=2,H42=2), "NONE", IF(OR(E42&gt;2, H42&gt;2), "ONLY 2 POWERED BOGIES MAY BE REQUIRED", "MINIMUM OF 2 POWER BOGIES REQUIRED")))</f>
        <v>NONE</v>
      </c>
    </row>
    <row r="47" spans="1:11" ht="15" customHeight="1" x14ac:dyDescent="0.25">
      <c r="D47" s="379" t="s">
        <v>186</v>
      </c>
      <c r="E47" s="380" t="str">
        <f>IF(E40+H40+E41+H41&lt;1, "NONE",IF(E40+H40+E41+H41&gt;1, "ONLY ONE MULTI WHEEL SYSTEM ALLOWED", IF(AND(E40+H40&gt;=1, E43+H43=6), "NONE6", IF(AND(E41+H41&gt;=1, E43+H43=8), "NONE8", IF(E40+H40&gt;=1, "6 BOGIES REQUIRED FOR 6 WHEEL/SIDE SYSTEM", "8 BOGIES REQUIRED FOR 6 WHEEL/SIDE SYSTEM")))))</f>
        <v>NONE</v>
      </c>
    </row>
    <row r="49" spans="2:11" x14ac:dyDescent="0.25">
      <c r="B49" s="414" t="s">
        <v>70</v>
      </c>
      <c r="C49" s="414"/>
      <c r="D49" s="414"/>
      <c r="E49" s="414"/>
      <c r="F49" s="414"/>
      <c r="G49" s="414"/>
      <c r="H49" s="414"/>
      <c r="I49" s="414"/>
      <c r="J49" s="414"/>
      <c r="K49" s="414"/>
    </row>
    <row r="50" spans="2:11" x14ac:dyDescent="0.25">
      <c r="B50" s="414"/>
      <c r="C50" s="414"/>
      <c r="D50" s="414"/>
      <c r="E50" s="414"/>
      <c r="F50" s="414"/>
      <c r="G50" s="414"/>
      <c r="H50" s="414"/>
      <c r="I50" s="414"/>
      <c r="J50" s="414"/>
      <c r="K50" s="414"/>
    </row>
    <row r="53" spans="2:11" x14ac:dyDescent="0.25">
      <c r="D53" s="96"/>
      <c r="H53" s="97"/>
      <c r="I53" s="342"/>
    </row>
    <row r="54" spans="2:11" x14ac:dyDescent="0.25">
      <c r="D54" s="96"/>
    </row>
    <row r="55" spans="2:11" x14ac:dyDescent="0.25">
      <c r="D55" s="96"/>
    </row>
  </sheetData>
  <sheetProtection password="E89C" sheet="1" objects="1" scenarios="1" selectLockedCells="1"/>
  <mergeCells count="21">
    <mergeCell ref="B19:B20"/>
    <mergeCell ref="D7:E7"/>
    <mergeCell ref="G7:H7"/>
    <mergeCell ref="B49:K50"/>
    <mergeCell ref="B36:B37"/>
    <mergeCell ref="B38:B39"/>
    <mergeCell ref="D27:E27"/>
    <mergeCell ref="G27:H27"/>
    <mergeCell ref="B30:B32"/>
    <mergeCell ref="B33:B35"/>
    <mergeCell ref="B40:B41"/>
    <mergeCell ref="D26:H26"/>
    <mergeCell ref="D28:E28"/>
    <mergeCell ref="G28:H28"/>
    <mergeCell ref="B1:E1"/>
    <mergeCell ref="J7:K7"/>
    <mergeCell ref="B9:B11"/>
    <mergeCell ref="B13:B15"/>
    <mergeCell ref="B17:B18"/>
    <mergeCell ref="D6:K6"/>
    <mergeCell ref="H4:J4"/>
  </mergeCells>
  <pageMargins left="0.7" right="0.7" top="0.75" bottom="0.75" header="0.3" footer="0.3"/>
  <pageSetup scale="75" orientation="portrait" r:id="rId1"/>
  <headerFooter alignWithMargins="0">
    <oddHeader>&amp;LBID-WELL: A TEREX Company
PO Box 97, Canton, SD 57013&amp;CPAVER WHEEL LOAD
WEIGHT CALCULATOR&amp;R&amp;F
KJK 033017</oddHeader>
    <oddFooter>&amp;LTab: &amp;A&amp;CPage &amp;P of &amp;N&amp;RPrinted: &amp;D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R88"/>
  <sheetViews>
    <sheetView tabSelected="1" zoomScaleNormal="100" zoomScalePageLayoutView="85" workbookViewId="0">
      <selection activeCell="C23" sqref="C23"/>
    </sheetView>
  </sheetViews>
  <sheetFormatPr defaultRowHeight="12.75" x14ac:dyDescent="0.2"/>
  <cols>
    <col min="1" max="1" width="2.42578125" style="1" customWidth="1"/>
    <col min="2" max="2" width="20.7109375" style="1" customWidth="1"/>
    <col min="3" max="3" width="12.7109375" style="1" customWidth="1"/>
    <col min="4" max="7" width="10.7109375" style="1" customWidth="1"/>
    <col min="8" max="8" width="2.42578125" style="1" customWidth="1"/>
    <col min="9" max="13" width="9.140625" style="1"/>
    <col min="14" max="14" width="12.140625" style="1" bestFit="1" customWidth="1"/>
    <col min="15" max="256" width="9.140625" style="1"/>
    <col min="257" max="257" width="2.42578125" style="1" customWidth="1"/>
    <col min="258" max="258" width="20.7109375" style="1" customWidth="1"/>
    <col min="259" max="259" width="12.7109375" style="1" customWidth="1"/>
    <col min="260" max="263" width="10.7109375" style="1" customWidth="1"/>
    <col min="264" max="264" width="2.42578125" style="1" customWidth="1"/>
    <col min="265" max="269" width="9.140625" style="1"/>
    <col min="270" max="270" width="12.140625" style="1" bestFit="1" customWidth="1"/>
    <col min="271" max="512" width="9.140625" style="1"/>
    <col min="513" max="513" width="2.42578125" style="1" customWidth="1"/>
    <col min="514" max="514" width="20.7109375" style="1" customWidth="1"/>
    <col min="515" max="515" width="12.7109375" style="1" customWidth="1"/>
    <col min="516" max="519" width="10.7109375" style="1" customWidth="1"/>
    <col min="520" max="520" width="2.42578125" style="1" customWidth="1"/>
    <col min="521" max="525" width="9.140625" style="1"/>
    <col min="526" max="526" width="12.140625" style="1" bestFit="1" customWidth="1"/>
    <col min="527" max="768" width="9.140625" style="1"/>
    <col min="769" max="769" width="2.42578125" style="1" customWidth="1"/>
    <col min="770" max="770" width="20.7109375" style="1" customWidth="1"/>
    <col min="771" max="771" width="12.7109375" style="1" customWidth="1"/>
    <col min="772" max="775" width="10.7109375" style="1" customWidth="1"/>
    <col min="776" max="776" width="2.42578125" style="1" customWidth="1"/>
    <col min="777" max="781" width="9.140625" style="1"/>
    <col min="782" max="782" width="12.140625" style="1" bestFit="1" customWidth="1"/>
    <col min="783" max="1024" width="9.140625" style="1"/>
    <col min="1025" max="1025" width="2.42578125" style="1" customWidth="1"/>
    <col min="1026" max="1026" width="20.7109375" style="1" customWidth="1"/>
    <col min="1027" max="1027" width="12.7109375" style="1" customWidth="1"/>
    <col min="1028" max="1031" width="10.7109375" style="1" customWidth="1"/>
    <col min="1032" max="1032" width="2.42578125" style="1" customWidth="1"/>
    <col min="1033" max="1037" width="9.140625" style="1"/>
    <col min="1038" max="1038" width="12.140625" style="1" bestFit="1" customWidth="1"/>
    <col min="1039" max="1280" width="9.140625" style="1"/>
    <col min="1281" max="1281" width="2.42578125" style="1" customWidth="1"/>
    <col min="1282" max="1282" width="20.7109375" style="1" customWidth="1"/>
    <col min="1283" max="1283" width="12.7109375" style="1" customWidth="1"/>
    <col min="1284" max="1287" width="10.7109375" style="1" customWidth="1"/>
    <col min="1288" max="1288" width="2.42578125" style="1" customWidth="1"/>
    <col min="1289" max="1293" width="9.140625" style="1"/>
    <col min="1294" max="1294" width="12.140625" style="1" bestFit="1" customWidth="1"/>
    <col min="1295" max="1536" width="9.140625" style="1"/>
    <col min="1537" max="1537" width="2.42578125" style="1" customWidth="1"/>
    <col min="1538" max="1538" width="20.7109375" style="1" customWidth="1"/>
    <col min="1539" max="1539" width="12.7109375" style="1" customWidth="1"/>
    <col min="1540" max="1543" width="10.7109375" style="1" customWidth="1"/>
    <col min="1544" max="1544" width="2.42578125" style="1" customWidth="1"/>
    <col min="1545" max="1549" width="9.140625" style="1"/>
    <col min="1550" max="1550" width="12.140625" style="1" bestFit="1" customWidth="1"/>
    <col min="1551" max="1792" width="9.140625" style="1"/>
    <col min="1793" max="1793" width="2.42578125" style="1" customWidth="1"/>
    <col min="1794" max="1794" width="20.7109375" style="1" customWidth="1"/>
    <col min="1795" max="1795" width="12.7109375" style="1" customWidth="1"/>
    <col min="1796" max="1799" width="10.7109375" style="1" customWidth="1"/>
    <col min="1800" max="1800" width="2.42578125" style="1" customWidth="1"/>
    <col min="1801" max="1805" width="9.140625" style="1"/>
    <col min="1806" max="1806" width="12.140625" style="1" bestFit="1" customWidth="1"/>
    <col min="1807" max="2048" width="9.140625" style="1"/>
    <col min="2049" max="2049" width="2.42578125" style="1" customWidth="1"/>
    <col min="2050" max="2050" width="20.7109375" style="1" customWidth="1"/>
    <col min="2051" max="2051" width="12.7109375" style="1" customWidth="1"/>
    <col min="2052" max="2055" width="10.7109375" style="1" customWidth="1"/>
    <col min="2056" max="2056" width="2.42578125" style="1" customWidth="1"/>
    <col min="2057" max="2061" width="9.140625" style="1"/>
    <col min="2062" max="2062" width="12.140625" style="1" bestFit="1" customWidth="1"/>
    <col min="2063" max="2304" width="9.140625" style="1"/>
    <col min="2305" max="2305" width="2.42578125" style="1" customWidth="1"/>
    <col min="2306" max="2306" width="20.7109375" style="1" customWidth="1"/>
    <col min="2307" max="2307" width="12.7109375" style="1" customWidth="1"/>
    <col min="2308" max="2311" width="10.7109375" style="1" customWidth="1"/>
    <col min="2312" max="2312" width="2.42578125" style="1" customWidth="1"/>
    <col min="2313" max="2317" width="9.140625" style="1"/>
    <col min="2318" max="2318" width="12.140625" style="1" bestFit="1" customWidth="1"/>
    <col min="2319" max="2560" width="9.140625" style="1"/>
    <col min="2561" max="2561" width="2.42578125" style="1" customWidth="1"/>
    <col min="2562" max="2562" width="20.7109375" style="1" customWidth="1"/>
    <col min="2563" max="2563" width="12.7109375" style="1" customWidth="1"/>
    <col min="2564" max="2567" width="10.7109375" style="1" customWidth="1"/>
    <col min="2568" max="2568" width="2.42578125" style="1" customWidth="1"/>
    <col min="2569" max="2573" width="9.140625" style="1"/>
    <col min="2574" max="2574" width="12.140625" style="1" bestFit="1" customWidth="1"/>
    <col min="2575" max="2816" width="9.140625" style="1"/>
    <col min="2817" max="2817" width="2.42578125" style="1" customWidth="1"/>
    <col min="2818" max="2818" width="20.7109375" style="1" customWidth="1"/>
    <col min="2819" max="2819" width="12.7109375" style="1" customWidth="1"/>
    <col min="2820" max="2823" width="10.7109375" style="1" customWidth="1"/>
    <col min="2824" max="2824" width="2.42578125" style="1" customWidth="1"/>
    <col min="2825" max="2829" width="9.140625" style="1"/>
    <col min="2830" max="2830" width="12.140625" style="1" bestFit="1" customWidth="1"/>
    <col min="2831" max="3072" width="9.140625" style="1"/>
    <col min="3073" max="3073" width="2.42578125" style="1" customWidth="1"/>
    <col min="3074" max="3074" width="20.7109375" style="1" customWidth="1"/>
    <col min="3075" max="3075" width="12.7109375" style="1" customWidth="1"/>
    <col min="3076" max="3079" width="10.7109375" style="1" customWidth="1"/>
    <col min="3080" max="3080" width="2.42578125" style="1" customWidth="1"/>
    <col min="3081" max="3085" width="9.140625" style="1"/>
    <col min="3086" max="3086" width="12.140625" style="1" bestFit="1" customWidth="1"/>
    <col min="3087" max="3328" width="9.140625" style="1"/>
    <col min="3329" max="3329" width="2.42578125" style="1" customWidth="1"/>
    <col min="3330" max="3330" width="20.7109375" style="1" customWidth="1"/>
    <col min="3331" max="3331" width="12.7109375" style="1" customWidth="1"/>
    <col min="3332" max="3335" width="10.7109375" style="1" customWidth="1"/>
    <col min="3336" max="3336" width="2.42578125" style="1" customWidth="1"/>
    <col min="3337" max="3341" width="9.140625" style="1"/>
    <col min="3342" max="3342" width="12.140625" style="1" bestFit="1" customWidth="1"/>
    <col min="3343" max="3584" width="9.140625" style="1"/>
    <col min="3585" max="3585" width="2.42578125" style="1" customWidth="1"/>
    <col min="3586" max="3586" width="20.7109375" style="1" customWidth="1"/>
    <col min="3587" max="3587" width="12.7109375" style="1" customWidth="1"/>
    <col min="3588" max="3591" width="10.7109375" style="1" customWidth="1"/>
    <col min="3592" max="3592" width="2.42578125" style="1" customWidth="1"/>
    <col min="3593" max="3597" width="9.140625" style="1"/>
    <col min="3598" max="3598" width="12.140625" style="1" bestFit="1" customWidth="1"/>
    <col min="3599" max="3840" width="9.140625" style="1"/>
    <col min="3841" max="3841" width="2.42578125" style="1" customWidth="1"/>
    <col min="3842" max="3842" width="20.7109375" style="1" customWidth="1"/>
    <col min="3843" max="3843" width="12.7109375" style="1" customWidth="1"/>
    <col min="3844" max="3847" width="10.7109375" style="1" customWidth="1"/>
    <col min="3848" max="3848" width="2.42578125" style="1" customWidth="1"/>
    <col min="3849" max="3853" width="9.140625" style="1"/>
    <col min="3854" max="3854" width="12.140625" style="1" bestFit="1" customWidth="1"/>
    <col min="3855" max="4096" width="9.140625" style="1"/>
    <col min="4097" max="4097" width="2.42578125" style="1" customWidth="1"/>
    <col min="4098" max="4098" width="20.7109375" style="1" customWidth="1"/>
    <col min="4099" max="4099" width="12.7109375" style="1" customWidth="1"/>
    <col min="4100" max="4103" width="10.7109375" style="1" customWidth="1"/>
    <col min="4104" max="4104" width="2.42578125" style="1" customWidth="1"/>
    <col min="4105" max="4109" width="9.140625" style="1"/>
    <col min="4110" max="4110" width="12.140625" style="1" bestFit="1" customWidth="1"/>
    <col min="4111" max="4352" width="9.140625" style="1"/>
    <col min="4353" max="4353" width="2.42578125" style="1" customWidth="1"/>
    <col min="4354" max="4354" width="20.7109375" style="1" customWidth="1"/>
    <col min="4355" max="4355" width="12.7109375" style="1" customWidth="1"/>
    <col min="4356" max="4359" width="10.7109375" style="1" customWidth="1"/>
    <col min="4360" max="4360" width="2.42578125" style="1" customWidth="1"/>
    <col min="4361" max="4365" width="9.140625" style="1"/>
    <col min="4366" max="4366" width="12.140625" style="1" bestFit="1" customWidth="1"/>
    <col min="4367" max="4608" width="9.140625" style="1"/>
    <col min="4609" max="4609" width="2.42578125" style="1" customWidth="1"/>
    <col min="4610" max="4610" width="20.7109375" style="1" customWidth="1"/>
    <col min="4611" max="4611" width="12.7109375" style="1" customWidth="1"/>
    <col min="4612" max="4615" width="10.7109375" style="1" customWidth="1"/>
    <col min="4616" max="4616" width="2.42578125" style="1" customWidth="1"/>
    <col min="4617" max="4621" width="9.140625" style="1"/>
    <col min="4622" max="4622" width="12.140625" style="1" bestFit="1" customWidth="1"/>
    <col min="4623" max="4864" width="9.140625" style="1"/>
    <col min="4865" max="4865" width="2.42578125" style="1" customWidth="1"/>
    <col min="4866" max="4866" width="20.7109375" style="1" customWidth="1"/>
    <col min="4867" max="4867" width="12.7109375" style="1" customWidth="1"/>
    <col min="4868" max="4871" width="10.7109375" style="1" customWidth="1"/>
    <col min="4872" max="4872" width="2.42578125" style="1" customWidth="1"/>
    <col min="4873" max="4877" width="9.140625" style="1"/>
    <col min="4878" max="4878" width="12.140625" style="1" bestFit="1" customWidth="1"/>
    <col min="4879" max="5120" width="9.140625" style="1"/>
    <col min="5121" max="5121" width="2.42578125" style="1" customWidth="1"/>
    <col min="5122" max="5122" width="20.7109375" style="1" customWidth="1"/>
    <col min="5123" max="5123" width="12.7109375" style="1" customWidth="1"/>
    <col min="5124" max="5127" width="10.7109375" style="1" customWidth="1"/>
    <col min="5128" max="5128" width="2.42578125" style="1" customWidth="1"/>
    <col min="5129" max="5133" width="9.140625" style="1"/>
    <col min="5134" max="5134" width="12.140625" style="1" bestFit="1" customWidth="1"/>
    <col min="5135" max="5376" width="9.140625" style="1"/>
    <col min="5377" max="5377" width="2.42578125" style="1" customWidth="1"/>
    <col min="5378" max="5378" width="20.7109375" style="1" customWidth="1"/>
    <col min="5379" max="5379" width="12.7109375" style="1" customWidth="1"/>
    <col min="5380" max="5383" width="10.7109375" style="1" customWidth="1"/>
    <col min="5384" max="5384" width="2.42578125" style="1" customWidth="1"/>
    <col min="5385" max="5389" width="9.140625" style="1"/>
    <col min="5390" max="5390" width="12.140625" style="1" bestFit="1" customWidth="1"/>
    <col min="5391" max="5632" width="9.140625" style="1"/>
    <col min="5633" max="5633" width="2.42578125" style="1" customWidth="1"/>
    <col min="5634" max="5634" width="20.7109375" style="1" customWidth="1"/>
    <col min="5635" max="5635" width="12.7109375" style="1" customWidth="1"/>
    <col min="5636" max="5639" width="10.7109375" style="1" customWidth="1"/>
    <col min="5640" max="5640" width="2.42578125" style="1" customWidth="1"/>
    <col min="5641" max="5645" width="9.140625" style="1"/>
    <col min="5646" max="5646" width="12.140625" style="1" bestFit="1" customWidth="1"/>
    <col min="5647" max="5888" width="9.140625" style="1"/>
    <col min="5889" max="5889" width="2.42578125" style="1" customWidth="1"/>
    <col min="5890" max="5890" width="20.7109375" style="1" customWidth="1"/>
    <col min="5891" max="5891" width="12.7109375" style="1" customWidth="1"/>
    <col min="5892" max="5895" width="10.7109375" style="1" customWidth="1"/>
    <col min="5896" max="5896" width="2.42578125" style="1" customWidth="1"/>
    <col min="5897" max="5901" width="9.140625" style="1"/>
    <col min="5902" max="5902" width="12.140625" style="1" bestFit="1" customWidth="1"/>
    <col min="5903" max="6144" width="9.140625" style="1"/>
    <col min="6145" max="6145" width="2.42578125" style="1" customWidth="1"/>
    <col min="6146" max="6146" width="20.7109375" style="1" customWidth="1"/>
    <col min="6147" max="6147" width="12.7109375" style="1" customWidth="1"/>
    <col min="6148" max="6151" width="10.7109375" style="1" customWidth="1"/>
    <col min="6152" max="6152" width="2.42578125" style="1" customWidth="1"/>
    <col min="6153" max="6157" width="9.140625" style="1"/>
    <col min="6158" max="6158" width="12.140625" style="1" bestFit="1" customWidth="1"/>
    <col min="6159" max="6400" width="9.140625" style="1"/>
    <col min="6401" max="6401" width="2.42578125" style="1" customWidth="1"/>
    <col min="6402" max="6402" width="20.7109375" style="1" customWidth="1"/>
    <col min="6403" max="6403" width="12.7109375" style="1" customWidth="1"/>
    <col min="6404" max="6407" width="10.7109375" style="1" customWidth="1"/>
    <col min="6408" max="6408" width="2.42578125" style="1" customWidth="1"/>
    <col min="6409" max="6413" width="9.140625" style="1"/>
    <col min="6414" max="6414" width="12.140625" style="1" bestFit="1" customWidth="1"/>
    <col min="6415" max="6656" width="9.140625" style="1"/>
    <col min="6657" max="6657" width="2.42578125" style="1" customWidth="1"/>
    <col min="6658" max="6658" width="20.7109375" style="1" customWidth="1"/>
    <col min="6659" max="6659" width="12.7109375" style="1" customWidth="1"/>
    <col min="6660" max="6663" width="10.7109375" style="1" customWidth="1"/>
    <col min="6664" max="6664" width="2.42578125" style="1" customWidth="1"/>
    <col min="6665" max="6669" width="9.140625" style="1"/>
    <col min="6670" max="6670" width="12.140625" style="1" bestFit="1" customWidth="1"/>
    <col min="6671" max="6912" width="9.140625" style="1"/>
    <col min="6913" max="6913" width="2.42578125" style="1" customWidth="1"/>
    <col min="6914" max="6914" width="20.7109375" style="1" customWidth="1"/>
    <col min="6915" max="6915" width="12.7109375" style="1" customWidth="1"/>
    <col min="6916" max="6919" width="10.7109375" style="1" customWidth="1"/>
    <col min="6920" max="6920" width="2.42578125" style="1" customWidth="1"/>
    <col min="6921" max="6925" width="9.140625" style="1"/>
    <col min="6926" max="6926" width="12.140625" style="1" bestFit="1" customWidth="1"/>
    <col min="6927" max="7168" width="9.140625" style="1"/>
    <col min="7169" max="7169" width="2.42578125" style="1" customWidth="1"/>
    <col min="7170" max="7170" width="20.7109375" style="1" customWidth="1"/>
    <col min="7171" max="7171" width="12.7109375" style="1" customWidth="1"/>
    <col min="7172" max="7175" width="10.7109375" style="1" customWidth="1"/>
    <col min="7176" max="7176" width="2.42578125" style="1" customWidth="1"/>
    <col min="7177" max="7181" width="9.140625" style="1"/>
    <col min="7182" max="7182" width="12.140625" style="1" bestFit="1" customWidth="1"/>
    <col min="7183" max="7424" width="9.140625" style="1"/>
    <col min="7425" max="7425" width="2.42578125" style="1" customWidth="1"/>
    <col min="7426" max="7426" width="20.7109375" style="1" customWidth="1"/>
    <col min="7427" max="7427" width="12.7109375" style="1" customWidth="1"/>
    <col min="7428" max="7431" width="10.7109375" style="1" customWidth="1"/>
    <col min="7432" max="7432" width="2.42578125" style="1" customWidth="1"/>
    <col min="7433" max="7437" width="9.140625" style="1"/>
    <col min="7438" max="7438" width="12.140625" style="1" bestFit="1" customWidth="1"/>
    <col min="7439" max="7680" width="9.140625" style="1"/>
    <col min="7681" max="7681" width="2.42578125" style="1" customWidth="1"/>
    <col min="7682" max="7682" width="20.7109375" style="1" customWidth="1"/>
    <col min="7683" max="7683" width="12.7109375" style="1" customWidth="1"/>
    <col min="7684" max="7687" width="10.7109375" style="1" customWidth="1"/>
    <col min="7688" max="7688" width="2.42578125" style="1" customWidth="1"/>
    <col min="7689" max="7693" width="9.140625" style="1"/>
    <col min="7694" max="7694" width="12.140625" style="1" bestFit="1" customWidth="1"/>
    <col min="7695" max="7936" width="9.140625" style="1"/>
    <col min="7937" max="7937" width="2.42578125" style="1" customWidth="1"/>
    <col min="7938" max="7938" width="20.7109375" style="1" customWidth="1"/>
    <col min="7939" max="7939" width="12.7109375" style="1" customWidth="1"/>
    <col min="7940" max="7943" width="10.7109375" style="1" customWidth="1"/>
    <col min="7944" max="7944" width="2.42578125" style="1" customWidth="1"/>
    <col min="7945" max="7949" width="9.140625" style="1"/>
    <col min="7950" max="7950" width="12.140625" style="1" bestFit="1" customWidth="1"/>
    <col min="7951" max="8192" width="9.140625" style="1"/>
    <col min="8193" max="8193" width="2.42578125" style="1" customWidth="1"/>
    <col min="8194" max="8194" width="20.7109375" style="1" customWidth="1"/>
    <col min="8195" max="8195" width="12.7109375" style="1" customWidth="1"/>
    <col min="8196" max="8199" width="10.7109375" style="1" customWidth="1"/>
    <col min="8200" max="8200" width="2.42578125" style="1" customWidth="1"/>
    <col min="8201" max="8205" width="9.140625" style="1"/>
    <col min="8206" max="8206" width="12.140625" style="1" bestFit="1" customWidth="1"/>
    <col min="8207" max="8448" width="9.140625" style="1"/>
    <col min="8449" max="8449" width="2.42578125" style="1" customWidth="1"/>
    <col min="8450" max="8450" width="20.7109375" style="1" customWidth="1"/>
    <col min="8451" max="8451" width="12.7109375" style="1" customWidth="1"/>
    <col min="8452" max="8455" width="10.7109375" style="1" customWidth="1"/>
    <col min="8456" max="8456" width="2.42578125" style="1" customWidth="1"/>
    <col min="8457" max="8461" width="9.140625" style="1"/>
    <col min="8462" max="8462" width="12.140625" style="1" bestFit="1" customWidth="1"/>
    <col min="8463" max="8704" width="9.140625" style="1"/>
    <col min="8705" max="8705" width="2.42578125" style="1" customWidth="1"/>
    <col min="8706" max="8706" width="20.7109375" style="1" customWidth="1"/>
    <col min="8707" max="8707" width="12.7109375" style="1" customWidth="1"/>
    <col min="8708" max="8711" width="10.7109375" style="1" customWidth="1"/>
    <col min="8712" max="8712" width="2.42578125" style="1" customWidth="1"/>
    <col min="8713" max="8717" width="9.140625" style="1"/>
    <col min="8718" max="8718" width="12.140625" style="1" bestFit="1" customWidth="1"/>
    <col min="8719" max="8960" width="9.140625" style="1"/>
    <col min="8961" max="8961" width="2.42578125" style="1" customWidth="1"/>
    <col min="8962" max="8962" width="20.7109375" style="1" customWidth="1"/>
    <col min="8963" max="8963" width="12.7109375" style="1" customWidth="1"/>
    <col min="8964" max="8967" width="10.7109375" style="1" customWidth="1"/>
    <col min="8968" max="8968" width="2.42578125" style="1" customWidth="1"/>
    <col min="8969" max="8973" width="9.140625" style="1"/>
    <col min="8974" max="8974" width="12.140625" style="1" bestFit="1" customWidth="1"/>
    <col min="8975" max="9216" width="9.140625" style="1"/>
    <col min="9217" max="9217" width="2.42578125" style="1" customWidth="1"/>
    <col min="9218" max="9218" width="20.7109375" style="1" customWidth="1"/>
    <col min="9219" max="9219" width="12.7109375" style="1" customWidth="1"/>
    <col min="9220" max="9223" width="10.7109375" style="1" customWidth="1"/>
    <col min="9224" max="9224" width="2.42578125" style="1" customWidth="1"/>
    <col min="9225" max="9229" width="9.140625" style="1"/>
    <col min="9230" max="9230" width="12.140625" style="1" bestFit="1" customWidth="1"/>
    <col min="9231" max="9472" width="9.140625" style="1"/>
    <col min="9473" max="9473" width="2.42578125" style="1" customWidth="1"/>
    <col min="9474" max="9474" width="20.7109375" style="1" customWidth="1"/>
    <col min="9475" max="9475" width="12.7109375" style="1" customWidth="1"/>
    <col min="9476" max="9479" width="10.7109375" style="1" customWidth="1"/>
    <col min="9480" max="9480" width="2.42578125" style="1" customWidth="1"/>
    <col min="9481" max="9485" width="9.140625" style="1"/>
    <col min="9486" max="9486" width="12.140625" style="1" bestFit="1" customWidth="1"/>
    <col min="9487" max="9728" width="9.140625" style="1"/>
    <col min="9729" max="9729" width="2.42578125" style="1" customWidth="1"/>
    <col min="9730" max="9730" width="20.7109375" style="1" customWidth="1"/>
    <col min="9731" max="9731" width="12.7109375" style="1" customWidth="1"/>
    <col min="9732" max="9735" width="10.7109375" style="1" customWidth="1"/>
    <col min="9736" max="9736" width="2.42578125" style="1" customWidth="1"/>
    <col min="9737" max="9741" width="9.140625" style="1"/>
    <col min="9742" max="9742" width="12.140625" style="1" bestFit="1" customWidth="1"/>
    <col min="9743" max="9984" width="9.140625" style="1"/>
    <col min="9985" max="9985" width="2.42578125" style="1" customWidth="1"/>
    <col min="9986" max="9986" width="20.7109375" style="1" customWidth="1"/>
    <col min="9987" max="9987" width="12.7109375" style="1" customWidth="1"/>
    <col min="9988" max="9991" width="10.7109375" style="1" customWidth="1"/>
    <col min="9992" max="9992" width="2.42578125" style="1" customWidth="1"/>
    <col min="9993" max="9997" width="9.140625" style="1"/>
    <col min="9998" max="9998" width="12.140625" style="1" bestFit="1" customWidth="1"/>
    <col min="9999" max="10240" width="9.140625" style="1"/>
    <col min="10241" max="10241" width="2.42578125" style="1" customWidth="1"/>
    <col min="10242" max="10242" width="20.7109375" style="1" customWidth="1"/>
    <col min="10243" max="10243" width="12.7109375" style="1" customWidth="1"/>
    <col min="10244" max="10247" width="10.7109375" style="1" customWidth="1"/>
    <col min="10248" max="10248" width="2.42578125" style="1" customWidth="1"/>
    <col min="10249" max="10253" width="9.140625" style="1"/>
    <col min="10254" max="10254" width="12.140625" style="1" bestFit="1" customWidth="1"/>
    <col min="10255" max="10496" width="9.140625" style="1"/>
    <col min="10497" max="10497" width="2.42578125" style="1" customWidth="1"/>
    <col min="10498" max="10498" width="20.7109375" style="1" customWidth="1"/>
    <col min="10499" max="10499" width="12.7109375" style="1" customWidth="1"/>
    <col min="10500" max="10503" width="10.7109375" style="1" customWidth="1"/>
    <col min="10504" max="10504" width="2.42578125" style="1" customWidth="1"/>
    <col min="10505" max="10509" width="9.140625" style="1"/>
    <col min="10510" max="10510" width="12.140625" style="1" bestFit="1" customWidth="1"/>
    <col min="10511" max="10752" width="9.140625" style="1"/>
    <col min="10753" max="10753" width="2.42578125" style="1" customWidth="1"/>
    <col min="10754" max="10754" width="20.7109375" style="1" customWidth="1"/>
    <col min="10755" max="10755" width="12.7109375" style="1" customWidth="1"/>
    <col min="10756" max="10759" width="10.7109375" style="1" customWidth="1"/>
    <col min="10760" max="10760" width="2.42578125" style="1" customWidth="1"/>
    <col min="10761" max="10765" width="9.140625" style="1"/>
    <col min="10766" max="10766" width="12.140625" style="1" bestFit="1" customWidth="1"/>
    <col min="10767" max="11008" width="9.140625" style="1"/>
    <col min="11009" max="11009" width="2.42578125" style="1" customWidth="1"/>
    <col min="11010" max="11010" width="20.7109375" style="1" customWidth="1"/>
    <col min="11011" max="11011" width="12.7109375" style="1" customWidth="1"/>
    <col min="11012" max="11015" width="10.7109375" style="1" customWidth="1"/>
    <col min="11016" max="11016" width="2.42578125" style="1" customWidth="1"/>
    <col min="11017" max="11021" width="9.140625" style="1"/>
    <col min="11022" max="11022" width="12.140625" style="1" bestFit="1" customWidth="1"/>
    <col min="11023" max="11264" width="9.140625" style="1"/>
    <col min="11265" max="11265" width="2.42578125" style="1" customWidth="1"/>
    <col min="11266" max="11266" width="20.7109375" style="1" customWidth="1"/>
    <col min="11267" max="11267" width="12.7109375" style="1" customWidth="1"/>
    <col min="11268" max="11271" width="10.7109375" style="1" customWidth="1"/>
    <col min="11272" max="11272" width="2.42578125" style="1" customWidth="1"/>
    <col min="11273" max="11277" width="9.140625" style="1"/>
    <col min="11278" max="11278" width="12.140625" style="1" bestFit="1" customWidth="1"/>
    <col min="11279" max="11520" width="9.140625" style="1"/>
    <col min="11521" max="11521" width="2.42578125" style="1" customWidth="1"/>
    <col min="11522" max="11522" width="20.7109375" style="1" customWidth="1"/>
    <col min="11523" max="11523" width="12.7109375" style="1" customWidth="1"/>
    <col min="11524" max="11527" width="10.7109375" style="1" customWidth="1"/>
    <col min="11528" max="11528" width="2.42578125" style="1" customWidth="1"/>
    <col min="11529" max="11533" width="9.140625" style="1"/>
    <col min="11534" max="11534" width="12.140625" style="1" bestFit="1" customWidth="1"/>
    <col min="11535" max="11776" width="9.140625" style="1"/>
    <col min="11777" max="11777" width="2.42578125" style="1" customWidth="1"/>
    <col min="11778" max="11778" width="20.7109375" style="1" customWidth="1"/>
    <col min="11779" max="11779" width="12.7109375" style="1" customWidth="1"/>
    <col min="11780" max="11783" width="10.7109375" style="1" customWidth="1"/>
    <col min="11784" max="11784" width="2.42578125" style="1" customWidth="1"/>
    <col min="11785" max="11789" width="9.140625" style="1"/>
    <col min="11790" max="11790" width="12.140625" style="1" bestFit="1" customWidth="1"/>
    <col min="11791" max="12032" width="9.140625" style="1"/>
    <col min="12033" max="12033" width="2.42578125" style="1" customWidth="1"/>
    <col min="12034" max="12034" width="20.7109375" style="1" customWidth="1"/>
    <col min="12035" max="12035" width="12.7109375" style="1" customWidth="1"/>
    <col min="12036" max="12039" width="10.7109375" style="1" customWidth="1"/>
    <col min="12040" max="12040" width="2.42578125" style="1" customWidth="1"/>
    <col min="12041" max="12045" width="9.140625" style="1"/>
    <col min="12046" max="12046" width="12.140625" style="1" bestFit="1" customWidth="1"/>
    <col min="12047" max="12288" width="9.140625" style="1"/>
    <col min="12289" max="12289" width="2.42578125" style="1" customWidth="1"/>
    <col min="12290" max="12290" width="20.7109375" style="1" customWidth="1"/>
    <col min="12291" max="12291" width="12.7109375" style="1" customWidth="1"/>
    <col min="12292" max="12295" width="10.7109375" style="1" customWidth="1"/>
    <col min="12296" max="12296" width="2.42578125" style="1" customWidth="1"/>
    <col min="12297" max="12301" width="9.140625" style="1"/>
    <col min="12302" max="12302" width="12.140625" style="1" bestFit="1" customWidth="1"/>
    <col min="12303" max="12544" width="9.140625" style="1"/>
    <col min="12545" max="12545" width="2.42578125" style="1" customWidth="1"/>
    <col min="12546" max="12546" width="20.7109375" style="1" customWidth="1"/>
    <col min="12547" max="12547" width="12.7109375" style="1" customWidth="1"/>
    <col min="12548" max="12551" width="10.7109375" style="1" customWidth="1"/>
    <col min="12552" max="12552" width="2.42578125" style="1" customWidth="1"/>
    <col min="12553" max="12557" width="9.140625" style="1"/>
    <col min="12558" max="12558" width="12.140625" style="1" bestFit="1" customWidth="1"/>
    <col min="12559" max="12800" width="9.140625" style="1"/>
    <col min="12801" max="12801" width="2.42578125" style="1" customWidth="1"/>
    <col min="12802" max="12802" width="20.7109375" style="1" customWidth="1"/>
    <col min="12803" max="12803" width="12.7109375" style="1" customWidth="1"/>
    <col min="12804" max="12807" width="10.7109375" style="1" customWidth="1"/>
    <col min="12808" max="12808" width="2.42578125" style="1" customWidth="1"/>
    <col min="12809" max="12813" width="9.140625" style="1"/>
    <col min="12814" max="12814" width="12.140625" style="1" bestFit="1" customWidth="1"/>
    <col min="12815" max="13056" width="9.140625" style="1"/>
    <col min="13057" max="13057" width="2.42578125" style="1" customWidth="1"/>
    <col min="13058" max="13058" width="20.7109375" style="1" customWidth="1"/>
    <col min="13059" max="13059" width="12.7109375" style="1" customWidth="1"/>
    <col min="13060" max="13063" width="10.7109375" style="1" customWidth="1"/>
    <col min="13064" max="13064" width="2.42578125" style="1" customWidth="1"/>
    <col min="13065" max="13069" width="9.140625" style="1"/>
    <col min="13070" max="13070" width="12.140625" style="1" bestFit="1" customWidth="1"/>
    <col min="13071" max="13312" width="9.140625" style="1"/>
    <col min="13313" max="13313" width="2.42578125" style="1" customWidth="1"/>
    <col min="13314" max="13314" width="20.7109375" style="1" customWidth="1"/>
    <col min="13315" max="13315" width="12.7109375" style="1" customWidth="1"/>
    <col min="13316" max="13319" width="10.7109375" style="1" customWidth="1"/>
    <col min="13320" max="13320" width="2.42578125" style="1" customWidth="1"/>
    <col min="13321" max="13325" width="9.140625" style="1"/>
    <col min="13326" max="13326" width="12.140625" style="1" bestFit="1" customWidth="1"/>
    <col min="13327" max="13568" width="9.140625" style="1"/>
    <col min="13569" max="13569" width="2.42578125" style="1" customWidth="1"/>
    <col min="13570" max="13570" width="20.7109375" style="1" customWidth="1"/>
    <col min="13571" max="13571" width="12.7109375" style="1" customWidth="1"/>
    <col min="13572" max="13575" width="10.7109375" style="1" customWidth="1"/>
    <col min="13576" max="13576" width="2.42578125" style="1" customWidth="1"/>
    <col min="13577" max="13581" width="9.140625" style="1"/>
    <col min="13582" max="13582" width="12.140625" style="1" bestFit="1" customWidth="1"/>
    <col min="13583" max="13824" width="9.140625" style="1"/>
    <col min="13825" max="13825" width="2.42578125" style="1" customWidth="1"/>
    <col min="13826" max="13826" width="20.7109375" style="1" customWidth="1"/>
    <col min="13827" max="13827" width="12.7109375" style="1" customWidth="1"/>
    <col min="13828" max="13831" width="10.7109375" style="1" customWidth="1"/>
    <col min="13832" max="13832" width="2.42578125" style="1" customWidth="1"/>
    <col min="13833" max="13837" width="9.140625" style="1"/>
    <col min="13838" max="13838" width="12.140625" style="1" bestFit="1" customWidth="1"/>
    <col min="13839" max="14080" width="9.140625" style="1"/>
    <col min="14081" max="14081" width="2.42578125" style="1" customWidth="1"/>
    <col min="14082" max="14082" width="20.7109375" style="1" customWidth="1"/>
    <col min="14083" max="14083" width="12.7109375" style="1" customWidth="1"/>
    <col min="14084" max="14087" width="10.7109375" style="1" customWidth="1"/>
    <col min="14088" max="14088" width="2.42578125" style="1" customWidth="1"/>
    <col min="14089" max="14093" width="9.140625" style="1"/>
    <col min="14094" max="14094" width="12.140625" style="1" bestFit="1" customWidth="1"/>
    <col min="14095" max="14336" width="9.140625" style="1"/>
    <col min="14337" max="14337" width="2.42578125" style="1" customWidth="1"/>
    <col min="14338" max="14338" width="20.7109375" style="1" customWidth="1"/>
    <col min="14339" max="14339" width="12.7109375" style="1" customWidth="1"/>
    <col min="14340" max="14343" width="10.7109375" style="1" customWidth="1"/>
    <col min="14344" max="14344" width="2.42578125" style="1" customWidth="1"/>
    <col min="14345" max="14349" width="9.140625" style="1"/>
    <col min="14350" max="14350" width="12.140625" style="1" bestFit="1" customWidth="1"/>
    <col min="14351" max="14592" width="9.140625" style="1"/>
    <col min="14593" max="14593" width="2.42578125" style="1" customWidth="1"/>
    <col min="14594" max="14594" width="20.7109375" style="1" customWidth="1"/>
    <col min="14595" max="14595" width="12.7109375" style="1" customWidth="1"/>
    <col min="14596" max="14599" width="10.7109375" style="1" customWidth="1"/>
    <col min="14600" max="14600" width="2.42578125" style="1" customWidth="1"/>
    <col min="14601" max="14605" width="9.140625" style="1"/>
    <col min="14606" max="14606" width="12.140625" style="1" bestFit="1" customWidth="1"/>
    <col min="14607" max="14848" width="9.140625" style="1"/>
    <col min="14849" max="14849" width="2.42578125" style="1" customWidth="1"/>
    <col min="14850" max="14850" width="20.7109375" style="1" customWidth="1"/>
    <col min="14851" max="14851" width="12.7109375" style="1" customWidth="1"/>
    <col min="14852" max="14855" width="10.7109375" style="1" customWidth="1"/>
    <col min="14856" max="14856" width="2.42578125" style="1" customWidth="1"/>
    <col min="14857" max="14861" width="9.140625" style="1"/>
    <col min="14862" max="14862" width="12.140625" style="1" bestFit="1" customWidth="1"/>
    <col min="14863" max="15104" width="9.140625" style="1"/>
    <col min="15105" max="15105" width="2.42578125" style="1" customWidth="1"/>
    <col min="15106" max="15106" width="20.7109375" style="1" customWidth="1"/>
    <col min="15107" max="15107" width="12.7109375" style="1" customWidth="1"/>
    <col min="15108" max="15111" width="10.7109375" style="1" customWidth="1"/>
    <col min="15112" max="15112" width="2.42578125" style="1" customWidth="1"/>
    <col min="15113" max="15117" width="9.140625" style="1"/>
    <col min="15118" max="15118" width="12.140625" style="1" bestFit="1" customWidth="1"/>
    <col min="15119" max="15360" width="9.140625" style="1"/>
    <col min="15361" max="15361" width="2.42578125" style="1" customWidth="1"/>
    <col min="15362" max="15362" width="20.7109375" style="1" customWidth="1"/>
    <col min="15363" max="15363" width="12.7109375" style="1" customWidth="1"/>
    <col min="15364" max="15367" width="10.7109375" style="1" customWidth="1"/>
    <col min="15368" max="15368" width="2.42578125" style="1" customWidth="1"/>
    <col min="15369" max="15373" width="9.140625" style="1"/>
    <col min="15374" max="15374" width="12.140625" style="1" bestFit="1" customWidth="1"/>
    <col min="15375" max="15616" width="9.140625" style="1"/>
    <col min="15617" max="15617" width="2.42578125" style="1" customWidth="1"/>
    <col min="15618" max="15618" width="20.7109375" style="1" customWidth="1"/>
    <col min="15619" max="15619" width="12.7109375" style="1" customWidth="1"/>
    <col min="15620" max="15623" width="10.7109375" style="1" customWidth="1"/>
    <col min="15624" max="15624" width="2.42578125" style="1" customWidth="1"/>
    <col min="15625" max="15629" width="9.140625" style="1"/>
    <col min="15630" max="15630" width="12.140625" style="1" bestFit="1" customWidth="1"/>
    <col min="15631" max="15872" width="9.140625" style="1"/>
    <col min="15873" max="15873" width="2.42578125" style="1" customWidth="1"/>
    <col min="15874" max="15874" width="20.7109375" style="1" customWidth="1"/>
    <col min="15875" max="15875" width="12.7109375" style="1" customWidth="1"/>
    <col min="15876" max="15879" width="10.7109375" style="1" customWidth="1"/>
    <col min="15880" max="15880" width="2.42578125" style="1" customWidth="1"/>
    <col min="15881" max="15885" width="9.140625" style="1"/>
    <col min="15886" max="15886" width="12.140625" style="1" bestFit="1" customWidth="1"/>
    <col min="15887" max="16128" width="9.140625" style="1"/>
    <col min="16129" max="16129" width="2.42578125" style="1" customWidth="1"/>
    <col min="16130" max="16130" width="20.7109375" style="1" customWidth="1"/>
    <col min="16131" max="16131" width="12.7109375" style="1" customWidth="1"/>
    <col min="16132" max="16135" width="10.7109375" style="1" customWidth="1"/>
    <col min="16136" max="16136" width="2.42578125" style="1" customWidth="1"/>
    <col min="16137" max="16141" width="9.140625" style="1"/>
    <col min="16142" max="16142" width="12.140625" style="1" bestFit="1" customWidth="1"/>
    <col min="16143" max="16384" width="9.140625" style="1"/>
  </cols>
  <sheetData>
    <row r="1" spans="2:7" x14ac:dyDescent="0.2">
      <c r="B1" s="2" t="s">
        <v>4</v>
      </c>
      <c r="C1" s="3"/>
      <c r="D1" s="4"/>
      <c r="E1" s="5"/>
    </row>
    <row r="2" spans="2:7" x14ac:dyDescent="0.2">
      <c r="B2" s="2" t="s">
        <v>5</v>
      </c>
      <c r="C2" s="3"/>
      <c r="D2" s="4"/>
      <c r="E2" s="5"/>
    </row>
    <row r="3" spans="2:7" ht="13.5" customHeight="1" thickBot="1" x14ac:dyDescent="0.3">
      <c r="B3" s="6"/>
      <c r="C3" s="7"/>
    </row>
    <row r="4" spans="2:7" ht="18.95" customHeight="1" thickBot="1" x14ac:dyDescent="0.4">
      <c r="B4" s="6"/>
      <c r="C4" s="503" t="s">
        <v>6</v>
      </c>
      <c r="D4" s="504"/>
      <c r="E4" s="505"/>
      <c r="F4" s="8"/>
      <c r="G4" s="8"/>
    </row>
    <row r="18" spans="2:18" ht="12.75" customHeight="1" x14ac:dyDescent="0.2">
      <c r="I18" s="152"/>
      <c r="J18" s="152"/>
      <c r="K18" s="152"/>
      <c r="L18" s="152"/>
      <c r="M18" s="152"/>
      <c r="N18" s="152"/>
      <c r="O18" s="152"/>
      <c r="P18" s="152"/>
      <c r="Q18" s="152"/>
      <c r="R18" s="152"/>
    </row>
    <row r="19" spans="2:18" x14ac:dyDescent="0.2">
      <c r="B19" s="9" t="s">
        <v>7</v>
      </c>
      <c r="I19" s="152"/>
      <c r="J19" s="152"/>
      <c r="K19" s="152"/>
      <c r="L19" s="152"/>
      <c r="M19" s="152"/>
      <c r="N19" s="152"/>
      <c r="O19" s="152"/>
      <c r="P19" s="152"/>
      <c r="Q19" s="152"/>
      <c r="R19" s="152"/>
    </row>
    <row r="20" spans="2:18" ht="13.5" thickBot="1" x14ac:dyDescent="0.25">
      <c r="B20" s="10"/>
      <c r="C20" s="11"/>
      <c r="D20" s="11"/>
      <c r="I20" s="152"/>
      <c r="J20" s="152"/>
      <c r="K20" s="152"/>
      <c r="L20" s="152"/>
      <c r="M20" s="152"/>
      <c r="N20" s="152"/>
      <c r="O20" s="152"/>
      <c r="P20" s="152"/>
      <c r="Q20" s="152"/>
      <c r="R20" s="152"/>
    </row>
    <row r="21" spans="2:18" ht="13.5" thickBot="1" x14ac:dyDescent="0.25">
      <c r="B21" s="12" t="s">
        <v>8</v>
      </c>
      <c r="C21" s="13">
        <f>'1. Inserts'!D5</f>
        <v>24</v>
      </c>
      <c r="D21" s="14" t="s">
        <v>9</v>
      </c>
      <c r="F21" s="506" t="s">
        <v>10</v>
      </c>
      <c r="G21" s="507"/>
      <c r="I21" s="152"/>
      <c r="J21" s="152"/>
      <c r="K21" s="152"/>
      <c r="L21" s="152"/>
      <c r="M21" s="152"/>
      <c r="N21" s="152"/>
      <c r="O21" s="152"/>
      <c r="P21" s="152"/>
      <c r="Q21" s="152"/>
      <c r="R21" s="152"/>
    </row>
    <row r="22" spans="2:18" x14ac:dyDescent="0.2">
      <c r="B22" s="15" t="s">
        <v>11</v>
      </c>
      <c r="C22" s="16">
        <f>'1. Inserts'!D4</f>
        <v>2</v>
      </c>
      <c r="D22" s="17" t="s">
        <v>12</v>
      </c>
      <c r="F22" s="18" t="s">
        <v>13</v>
      </c>
      <c r="G22" s="19" t="s">
        <v>14</v>
      </c>
      <c r="I22" s="152"/>
      <c r="J22" s="152"/>
      <c r="K22" s="152"/>
      <c r="L22" s="152"/>
      <c r="M22" s="152"/>
      <c r="N22" s="152"/>
      <c r="O22" s="152"/>
      <c r="P22" s="152"/>
      <c r="Q22" s="152"/>
      <c r="R22" s="152"/>
    </row>
    <row r="23" spans="2:18" ht="13.5" thickBot="1" x14ac:dyDescent="0.25">
      <c r="B23" s="20" t="s">
        <v>15</v>
      </c>
      <c r="C23" s="141">
        <v>300</v>
      </c>
      <c r="D23" s="21" t="s">
        <v>0</v>
      </c>
      <c r="F23" s="142">
        <v>2</v>
      </c>
      <c r="G23" s="143">
        <v>3</v>
      </c>
      <c r="I23" s="152"/>
      <c r="J23" s="152"/>
      <c r="K23" s="152"/>
      <c r="L23" s="152"/>
      <c r="M23" s="152"/>
      <c r="N23" s="152"/>
      <c r="O23" s="152"/>
      <c r="P23" s="152"/>
      <c r="Q23" s="152"/>
      <c r="R23" s="152"/>
    </row>
    <row r="24" spans="2:18" ht="13.5" thickBot="1" x14ac:dyDescent="0.25">
      <c r="B24" s="22" t="s">
        <v>16</v>
      </c>
      <c r="C24" s="23">
        <f>SUM(C32:C44)</f>
        <v>9050</v>
      </c>
      <c r="D24" s="24" t="s">
        <v>0</v>
      </c>
      <c r="F24" s="508" t="s">
        <v>17</v>
      </c>
      <c r="G24" s="509"/>
      <c r="I24" s="152"/>
      <c r="J24" s="152"/>
      <c r="K24" s="152"/>
      <c r="L24" s="152"/>
      <c r="M24" s="152"/>
      <c r="N24" s="152"/>
      <c r="O24" s="152"/>
      <c r="P24" s="152"/>
      <c r="Q24" s="152"/>
      <c r="R24" s="152"/>
    </row>
    <row r="25" spans="2:18" ht="13.5" thickBot="1" x14ac:dyDescent="0.25">
      <c r="F25" s="510">
        <f>F23+(G23/12)</f>
        <v>2.25</v>
      </c>
      <c r="G25" s="511"/>
      <c r="I25" s="152"/>
      <c r="J25" s="152"/>
      <c r="K25" s="152"/>
      <c r="L25" s="152"/>
      <c r="M25" s="152"/>
      <c r="N25" s="152"/>
      <c r="O25" s="152"/>
      <c r="P25" s="152"/>
      <c r="Q25" s="152"/>
      <c r="R25" s="152"/>
    </row>
    <row r="26" spans="2:18" ht="13.5" thickBot="1" x14ac:dyDescent="0.25">
      <c r="B26" s="144" t="s">
        <v>163</v>
      </c>
      <c r="C26" s="145"/>
      <c r="D26" s="145"/>
      <c r="I26" s="152"/>
      <c r="J26" s="152"/>
      <c r="K26" s="152"/>
      <c r="L26" s="152"/>
      <c r="M26" s="152"/>
      <c r="N26" s="152"/>
      <c r="O26" s="152"/>
      <c r="P26" s="152"/>
      <c r="Q26" s="152"/>
      <c r="R26" s="152"/>
    </row>
    <row r="27" spans="2:18" ht="8.25" customHeight="1" thickBot="1" x14ac:dyDescent="0.3">
      <c r="B27" s="6"/>
      <c r="C27" s="7"/>
    </row>
    <row r="28" spans="2:18" ht="21" customHeight="1" thickBot="1" x14ac:dyDescent="0.4">
      <c r="B28" s="6"/>
      <c r="C28" s="503" t="s">
        <v>19</v>
      </c>
      <c r="D28" s="504"/>
      <c r="E28" s="505"/>
      <c r="F28" s="512"/>
      <c r="G28" s="513"/>
    </row>
    <row r="29" spans="2:18" ht="6" customHeight="1" thickBot="1" x14ac:dyDescent="0.25">
      <c r="B29" s="9"/>
    </row>
    <row r="30" spans="2:18" ht="18.75" x14ac:dyDescent="0.3">
      <c r="B30" s="514" t="s">
        <v>20</v>
      </c>
      <c r="C30" s="515"/>
      <c r="D30" s="516" t="s">
        <v>21</v>
      </c>
      <c r="E30" s="517"/>
      <c r="F30" s="518" t="s">
        <v>22</v>
      </c>
      <c r="G30" s="517"/>
    </row>
    <row r="31" spans="2:18" x14ac:dyDescent="0.2">
      <c r="B31" s="25" t="s">
        <v>23</v>
      </c>
      <c r="C31" s="26" t="s">
        <v>24</v>
      </c>
      <c r="D31" s="519" t="s">
        <v>25</v>
      </c>
      <c r="E31" s="520"/>
      <c r="F31" s="27" t="s">
        <v>26</v>
      </c>
      <c r="G31" s="28" t="s">
        <v>27</v>
      </c>
    </row>
    <row r="32" spans="2:18" x14ac:dyDescent="0.2">
      <c r="B32" s="29" t="s">
        <v>28</v>
      </c>
      <c r="C32" s="30">
        <f>'1. Inserts'!D6</f>
        <v>1480</v>
      </c>
      <c r="D32" s="31"/>
      <c r="E32" s="32"/>
      <c r="F32" s="33">
        <f>C32/2</f>
        <v>740</v>
      </c>
      <c r="G32" s="34">
        <f>C32/2</f>
        <v>740</v>
      </c>
    </row>
    <row r="33" spans="2:17" x14ac:dyDescent="0.2">
      <c r="B33" s="29" t="s">
        <v>29</v>
      </c>
      <c r="C33" s="30">
        <f>'1. Inserts'!F37</f>
        <v>160</v>
      </c>
      <c r="D33" s="29" t="s">
        <v>30</v>
      </c>
      <c r="E33" s="35">
        <v>0</v>
      </c>
      <c r="F33" s="36">
        <f t="shared" ref="F33:F44" si="0">IF(E33&lt;0, "  Negative L ", IF($E$43&gt;$E$44, " R2 or D Inco", IF($E$34&gt;=$E$43, "R1 can't be ", IF(E33&lt;$E$34,C33*(($E$43-$E$34)+($E$34-E33))/($E$43-$E$34), IF(E33=MEDIAN($E$34,$E$43,E33),C33*(($E$43-$E$34)-(E33-$E$34))/($E$43-$E$34), IF(E33&gt;$E$44," Can't be gre",C33*(($E$43-$E$34)+($E$34-E33))/($E$43-$E$34)))))))</f>
        <v>176</v>
      </c>
      <c r="G33" s="37">
        <f t="shared" ref="G33:G44" si="1">IF(E33&lt;0, "not allowed ", IF($E$43&gt;$E$44, "rrect Length ", IF($E$34&gt;=$E$43, "more than R2", IF(E33&lt;$E$34,C33*(E33-$E$34)/($E$43-$E$34), IF(E33=MEDIAN($E$34,$E$43,E33),C33*(E33-$E$34)/($E$43-$E$34), IF(E33&gt;$E$44,"ater than D  ",C33*(E33-$E$34)/($E$43-$E$34)))))))</f>
        <v>-16</v>
      </c>
    </row>
    <row r="34" spans="2:17" x14ac:dyDescent="0.2">
      <c r="B34" s="29" t="s">
        <v>31</v>
      </c>
      <c r="C34" s="30">
        <f>'4. Legs-Bogies'!D4/2</f>
        <v>1174</v>
      </c>
      <c r="D34" s="38" t="s">
        <v>32</v>
      </c>
      <c r="E34" s="146">
        <v>2</v>
      </c>
      <c r="F34" s="36">
        <f t="shared" si="0"/>
        <v>1174</v>
      </c>
      <c r="G34" s="37">
        <f t="shared" si="1"/>
        <v>0</v>
      </c>
      <c r="M34" s="39"/>
      <c r="N34" s="40"/>
    </row>
    <row r="35" spans="2:17" x14ac:dyDescent="0.2">
      <c r="B35" s="41" t="s">
        <v>33</v>
      </c>
      <c r="C35" s="42">
        <f>'3. PU-Paver Options'!B10+C23</f>
        <v>1575</v>
      </c>
      <c r="D35" s="43" t="s">
        <v>34</v>
      </c>
      <c r="E35" s="146">
        <f>E34+4</f>
        <v>6</v>
      </c>
      <c r="F35" s="36">
        <f t="shared" si="0"/>
        <v>1260</v>
      </c>
      <c r="G35" s="37">
        <f t="shared" si="1"/>
        <v>315</v>
      </c>
      <c r="M35" s="39"/>
      <c r="N35" s="40"/>
    </row>
    <row r="36" spans="2:17" x14ac:dyDescent="0.2">
      <c r="B36" s="41" t="s">
        <v>35</v>
      </c>
      <c r="C36" s="132">
        <f>IF('2. Carriage'!E2=1,'2. Carriage'!D4, '2. Carriage'!D4/'2. Carriage'!E2)</f>
        <v>2371</v>
      </c>
      <c r="D36" s="43" t="s">
        <v>36</v>
      </c>
      <c r="E36" s="146">
        <v>6</v>
      </c>
      <c r="F36" s="36">
        <f t="shared" si="0"/>
        <v>1896.8</v>
      </c>
      <c r="G36" s="37">
        <f t="shared" si="1"/>
        <v>474.2</v>
      </c>
      <c r="I36" s="151"/>
      <c r="M36" s="44"/>
      <c r="N36" s="45"/>
    </row>
    <row r="37" spans="2:17" x14ac:dyDescent="0.2">
      <c r="B37" s="41" t="s">
        <v>37</v>
      </c>
      <c r="C37" s="42">
        <f>IF('2. Carriage'!E2=1, 0, '2. Carriage'!D4/'2. Carriage'!E2)</f>
        <v>0</v>
      </c>
      <c r="D37" s="43" t="s">
        <v>38</v>
      </c>
      <c r="E37" s="146">
        <v>0</v>
      </c>
      <c r="F37" s="36">
        <f t="shared" si="0"/>
        <v>0</v>
      </c>
      <c r="G37" s="37">
        <f t="shared" si="1"/>
        <v>0</v>
      </c>
      <c r="I37" s="151"/>
      <c r="M37" s="44"/>
      <c r="N37" s="45"/>
    </row>
    <row r="38" spans="2:17" x14ac:dyDescent="0.2">
      <c r="B38" s="41" t="s">
        <v>39</v>
      </c>
      <c r="C38" s="42">
        <f>IF('2. Carriage'!E2&lt;=2, 0, '2. Carriage'!D4/'2. Carriage'!E2)</f>
        <v>0</v>
      </c>
      <c r="D38" s="43" t="s">
        <v>40</v>
      </c>
      <c r="E38" s="146">
        <v>0</v>
      </c>
      <c r="F38" s="36">
        <f t="shared" si="0"/>
        <v>0</v>
      </c>
      <c r="G38" s="37">
        <f t="shared" si="1"/>
        <v>0</v>
      </c>
      <c r="I38" s="151"/>
      <c r="M38" s="44"/>
      <c r="N38" s="45"/>
    </row>
    <row r="39" spans="2:17" x14ac:dyDescent="0.2">
      <c r="B39" s="41" t="s">
        <v>41</v>
      </c>
      <c r="C39" s="42">
        <f>'3. PU-Paver Options'!C16*'3. PU-Paver Options'!D16</f>
        <v>1035</v>
      </c>
      <c r="D39" s="43" t="s">
        <v>42</v>
      </c>
      <c r="E39" s="146">
        <f>E43</f>
        <v>22</v>
      </c>
      <c r="F39" s="36">
        <f t="shared" si="0"/>
        <v>0</v>
      </c>
      <c r="G39" s="37">
        <f t="shared" si="1"/>
        <v>1035</v>
      </c>
    </row>
    <row r="40" spans="2:17" x14ac:dyDescent="0.2">
      <c r="B40" s="150" t="s">
        <v>191</v>
      </c>
      <c r="C40" s="42">
        <f>IF('3. PU-Paver Options'!D17=0,0,IF('3. PU-Paver Options'!D17&lt;=2,'3. PU-Paver Options'!C17,IF('3. PU-Paver Options'!D17&gt;2,"CAN'T BE &gt;2",0)))</f>
        <v>0</v>
      </c>
      <c r="D40" s="38" t="s">
        <v>192</v>
      </c>
      <c r="E40" s="146">
        <v>6</v>
      </c>
      <c r="F40" s="36">
        <f>IF(E40&lt;0, "  Negative L ", IF($E$43&gt;$E$44, " R2 or D Inco", IF($E$34&gt;=$E$43, "R1 can't be ", IF(E40&lt;$E$34,C40*(($E$43-$E$34)+($E$34-E40))/($E$43-$E$34), IF(E40=MEDIAN($E$34,$E$43,E40),C40*(($E$43-$E$34)-(E40-$E$34))/($E$43-$E$34), IF(E40&gt;$E$44," Can't be gre",C40*(($E$43-$E$34)+($E$34-E40))/($E$43-$E$34)))))))</f>
        <v>0</v>
      </c>
      <c r="G40" s="37">
        <f t="shared" si="1"/>
        <v>0</v>
      </c>
      <c r="I40" s="152"/>
      <c r="J40" s="152"/>
      <c r="K40" s="152"/>
      <c r="L40" s="152"/>
      <c r="M40" s="152"/>
      <c r="N40" s="152"/>
      <c r="O40" s="152"/>
      <c r="P40" s="152"/>
      <c r="Q40" s="152"/>
    </row>
    <row r="41" spans="2:17" x14ac:dyDescent="0.2">
      <c r="B41" s="150" t="s">
        <v>194</v>
      </c>
      <c r="C41" s="42">
        <f>IF('3. PU-Paver Options'!D17=0,0,IF('3. PU-Paver Options'!D17=2,'3. PU-Paver Options'!C17,IF('3. PU-Paver Options'!D17&gt;2,"CAN'T BE &gt;2",0)))</f>
        <v>0</v>
      </c>
      <c r="D41" s="38" t="s">
        <v>193</v>
      </c>
      <c r="E41" s="146">
        <v>0</v>
      </c>
      <c r="F41" s="36">
        <f t="shared" si="0"/>
        <v>0</v>
      </c>
      <c r="G41" s="37">
        <f t="shared" si="1"/>
        <v>0</v>
      </c>
      <c r="I41" s="152"/>
      <c r="J41" s="152"/>
      <c r="K41" s="152"/>
      <c r="L41" s="152"/>
      <c r="M41" s="152"/>
      <c r="N41" s="152"/>
      <c r="O41" s="152"/>
      <c r="P41" s="152"/>
      <c r="Q41" s="152"/>
    </row>
    <row r="42" spans="2:17" x14ac:dyDescent="0.2">
      <c r="B42" s="41" t="s">
        <v>43</v>
      </c>
      <c r="C42" s="42">
        <f>('3. PU-Paver Options'!C18*'3. PU-Paver Options'!D18)+('3. PU-Paver Options'!C19*'3. PU-Paver Options'!D19)+('3. PU-Paver Options'!C20*'3. PU-Paver Options'!D20)+('3. PU-Paver Options'!C21*'3. PU-Paver Options'!D21)</f>
        <v>0</v>
      </c>
      <c r="D42" s="43" t="s">
        <v>44</v>
      </c>
      <c r="E42" s="146">
        <f>E43</f>
        <v>22</v>
      </c>
      <c r="F42" s="36">
        <f t="shared" si="0"/>
        <v>0</v>
      </c>
      <c r="G42" s="37">
        <f t="shared" si="1"/>
        <v>0</v>
      </c>
      <c r="I42" s="152"/>
      <c r="J42" s="152"/>
      <c r="K42" s="152"/>
      <c r="L42" s="152"/>
      <c r="M42" s="152"/>
      <c r="N42" s="152"/>
      <c r="O42" s="152"/>
      <c r="P42" s="152"/>
      <c r="Q42" s="152"/>
    </row>
    <row r="43" spans="2:17" x14ac:dyDescent="0.2">
      <c r="B43" s="29" t="s">
        <v>45</v>
      </c>
      <c r="C43" s="30">
        <f>C34+('3. PU-Paver Options'!C22*'3. PU-Paver Options'!D22)</f>
        <v>1174</v>
      </c>
      <c r="D43" s="38" t="s">
        <v>46</v>
      </c>
      <c r="E43" s="146">
        <f>E44-2</f>
        <v>22</v>
      </c>
      <c r="F43" s="36">
        <f t="shared" si="0"/>
        <v>0</v>
      </c>
      <c r="G43" s="37">
        <f t="shared" si="1"/>
        <v>1174</v>
      </c>
      <c r="I43" s="152"/>
      <c r="J43" s="152"/>
      <c r="K43" s="152"/>
      <c r="L43" s="152"/>
      <c r="M43" s="152"/>
      <c r="N43" s="152"/>
      <c r="O43" s="152"/>
      <c r="P43" s="152"/>
      <c r="Q43" s="152"/>
    </row>
    <row r="44" spans="2:17" ht="13.5" thickBot="1" x14ac:dyDescent="0.25">
      <c r="B44" s="46" t="s">
        <v>47</v>
      </c>
      <c r="C44" s="47">
        <f>'1. Inserts'!F36</f>
        <v>81</v>
      </c>
      <c r="D44" s="48" t="s">
        <v>48</v>
      </c>
      <c r="E44" s="49">
        <f>C21</f>
        <v>24</v>
      </c>
      <c r="F44" s="36">
        <f t="shared" si="0"/>
        <v>-8.1</v>
      </c>
      <c r="G44" s="37">
        <f t="shared" si="1"/>
        <v>89.1</v>
      </c>
    </row>
    <row r="45" spans="2:17" ht="15" customHeight="1" thickBot="1" x14ac:dyDescent="0.3">
      <c r="B45" s="50"/>
      <c r="C45" s="51"/>
      <c r="D45" s="51"/>
      <c r="E45" s="52" t="s">
        <v>49</v>
      </c>
      <c r="F45" s="53">
        <f>SUM(F32:F44)</f>
        <v>5238.7</v>
      </c>
      <c r="G45" s="54">
        <f>SUM(G32:G44)</f>
        <v>3811.2999999999997</v>
      </c>
      <c r="I45" s="151"/>
    </row>
    <row r="46" spans="2:17" ht="15" customHeight="1" thickBot="1" x14ac:dyDescent="0.3">
      <c r="B46" s="55"/>
      <c r="C46" s="56"/>
      <c r="D46" s="56"/>
      <c r="E46" s="57" t="s">
        <v>50</v>
      </c>
      <c r="F46" s="58">
        <f>F45/4</f>
        <v>1309.675</v>
      </c>
      <c r="G46" s="59">
        <f>G45/4</f>
        <v>952.82499999999993</v>
      </c>
    </row>
    <row r="47" spans="2:17" ht="15" customHeight="1" thickBot="1" x14ac:dyDescent="0.3">
      <c r="B47" s="55"/>
      <c r="C47" s="56"/>
      <c r="D47" s="60" t="s">
        <v>51</v>
      </c>
      <c r="E47" s="149">
        <v>4</v>
      </c>
      <c r="F47" s="61">
        <f>IF(E47=0, ("NA"), (F45/E47))</f>
        <v>1309.675</v>
      </c>
      <c r="G47" s="62">
        <f>IF(E47=0, ("NA"), (G45/E47))</f>
        <v>952.82499999999993</v>
      </c>
    </row>
    <row r="48" spans="2:17" ht="5.25" customHeight="1" thickBot="1" x14ac:dyDescent="0.25"/>
    <row r="49" spans="1:7" ht="18.75" customHeight="1" thickBot="1" x14ac:dyDescent="0.4">
      <c r="C49" s="503" t="s">
        <v>52</v>
      </c>
      <c r="D49" s="504"/>
      <c r="E49" s="505"/>
      <c r="F49" s="63">
        <v>1.25</v>
      </c>
      <c r="G49" s="8"/>
    </row>
    <row r="50" spans="1:7" ht="5.25" customHeight="1" thickBot="1" x14ac:dyDescent="0.25"/>
    <row r="51" spans="1:7" ht="16.5" thickBot="1" x14ac:dyDescent="0.3">
      <c r="B51" s="64"/>
      <c r="C51" s="65"/>
      <c r="D51" s="65"/>
      <c r="E51" s="66" t="s">
        <v>53</v>
      </c>
      <c r="F51" s="67">
        <f>F46*$F$49</f>
        <v>1637.09375</v>
      </c>
      <c r="G51" s="68">
        <f>G46*$F$49</f>
        <v>1191.03125</v>
      </c>
    </row>
    <row r="52" spans="1:7" ht="16.5" thickBot="1" x14ac:dyDescent="0.3">
      <c r="B52" s="64"/>
      <c r="C52" s="65"/>
      <c r="D52" s="69" t="s">
        <v>158</v>
      </c>
      <c r="E52" s="70">
        <f>E47</f>
        <v>4</v>
      </c>
      <c r="F52" s="67">
        <f>IF(E47=0, ("NA"), (F47*$F$49))</f>
        <v>1637.09375</v>
      </c>
      <c r="G52" s="68">
        <f>IF(E47=0, ("NA"), (G47*$F$49))</f>
        <v>1191.03125</v>
      </c>
    </row>
    <row r="55" spans="1:7" ht="13.5" thickBot="1" x14ac:dyDescent="0.25">
      <c r="B55" s="71" t="s">
        <v>54</v>
      </c>
      <c r="C55" s="71"/>
    </row>
    <row r="56" spans="1:7" ht="27.75" customHeight="1" x14ac:dyDescent="0.2">
      <c r="A56" s="72">
        <v>1</v>
      </c>
      <c r="B56" s="412" t="s">
        <v>55</v>
      </c>
      <c r="C56" s="412"/>
      <c r="D56" s="412"/>
      <c r="E56" s="412"/>
      <c r="F56" s="412"/>
      <c r="G56" s="412"/>
    </row>
    <row r="57" spans="1:7" ht="42.75" customHeight="1" x14ac:dyDescent="0.2">
      <c r="A57" s="72">
        <v>2</v>
      </c>
      <c r="B57" s="412" t="s">
        <v>188</v>
      </c>
      <c r="C57" s="412"/>
      <c r="D57" s="412"/>
      <c r="E57" s="412"/>
      <c r="F57" s="412"/>
      <c r="G57" s="412"/>
    </row>
    <row r="58" spans="1:7" ht="42.75" customHeight="1" x14ac:dyDescent="0.2">
      <c r="A58" s="72">
        <v>3</v>
      </c>
      <c r="B58" s="415" t="s">
        <v>240</v>
      </c>
      <c r="C58" s="415"/>
      <c r="D58" s="415"/>
      <c r="E58" s="415"/>
      <c r="F58" s="415"/>
      <c r="G58" s="415"/>
    </row>
    <row r="59" spans="1:7" ht="67.5" customHeight="1" x14ac:dyDescent="0.2">
      <c r="A59" s="72">
        <v>4</v>
      </c>
      <c r="B59" s="412" t="s">
        <v>56</v>
      </c>
      <c r="C59" s="413"/>
      <c r="D59" s="413"/>
      <c r="E59" s="413"/>
      <c r="F59" s="413"/>
      <c r="G59" s="413"/>
    </row>
    <row r="60" spans="1:7" ht="27.75" customHeight="1" x14ac:dyDescent="0.2">
      <c r="A60" s="72">
        <v>5</v>
      </c>
      <c r="B60" s="412" t="s">
        <v>190</v>
      </c>
      <c r="C60" s="413"/>
      <c r="D60" s="413"/>
      <c r="E60" s="413"/>
      <c r="F60" s="413"/>
      <c r="G60" s="413"/>
    </row>
    <row r="61" spans="1:7" ht="39" customHeight="1" x14ac:dyDescent="0.2">
      <c r="A61" s="72">
        <v>6</v>
      </c>
      <c r="B61" s="412" t="s">
        <v>189</v>
      </c>
      <c r="C61" s="412"/>
      <c r="D61" s="412"/>
      <c r="E61" s="412"/>
      <c r="F61" s="412"/>
      <c r="G61" s="412"/>
    </row>
    <row r="62" spans="1:7" ht="40.5" customHeight="1" x14ac:dyDescent="0.2">
      <c r="A62" s="72">
        <v>7</v>
      </c>
      <c r="B62" s="412" t="s">
        <v>57</v>
      </c>
      <c r="C62" s="413"/>
      <c r="D62" s="413"/>
      <c r="E62" s="413"/>
      <c r="F62" s="413"/>
      <c r="G62" s="413"/>
    </row>
    <row r="63" spans="1:7" ht="26.25" customHeight="1" x14ac:dyDescent="0.2">
      <c r="A63" s="72">
        <v>8</v>
      </c>
      <c r="B63" s="412" t="s">
        <v>58</v>
      </c>
      <c r="C63" s="413"/>
      <c r="D63" s="413"/>
      <c r="E63" s="413"/>
      <c r="F63" s="413"/>
      <c r="G63" s="413"/>
    </row>
    <row r="64" spans="1:7" ht="11.25" customHeight="1" x14ac:dyDescent="0.2">
      <c r="A64" s="72"/>
      <c r="B64" s="73"/>
      <c r="C64" s="73"/>
      <c r="D64" s="73"/>
      <c r="E64" s="73"/>
      <c r="F64" s="73"/>
      <c r="G64" s="73"/>
    </row>
    <row r="65" spans="1:7" ht="12.75" customHeight="1" x14ac:dyDescent="0.2">
      <c r="A65" s="72">
        <v>9</v>
      </c>
      <c r="B65" s="414" t="s">
        <v>59</v>
      </c>
      <c r="C65" s="414"/>
      <c r="D65" s="414"/>
      <c r="E65" s="414"/>
      <c r="F65" s="414"/>
      <c r="G65" s="414"/>
    </row>
    <row r="66" spans="1:7" ht="31.5" customHeight="1" x14ac:dyDescent="0.2">
      <c r="A66" s="72"/>
      <c r="B66" s="414"/>
      <c r="C66" s="414"/>
      <c r="D66" s="414"/>
      <c r="E66" s="414"/>
      <c r="F66" s="414"/>
      <c r="G66" s="414"/>
    </row>
    <row r="67" spans="1:7" ht="12.75" customHeight="1" x14ac:dyDescent="0.2">
      <c r="B67" s="414"/>
      <c r="C67" s="414"/>
      <c r="D67" s="414"/>
      <c r="E67" s="414"/>
      <c r="F67" s="414"/>
      <c r="G67" s="414"/>
    </row>
    <row r="68" spans="1:7" ht="12.75" customHeight="1" x14ac:dyDescent="0.2">
      <c r="B68" s="414"/>
      <c r="C68" s="414"/>
      <c r="D68" s="414"/>
      <c r="E68" s="414"/>
      <c r="F68" s="414"/>
      <c r="G68" s="414"/>
    </row>
    <row r="69" spans="1:7" ht="12.75" customHeight="1" x14ac:dyDescent="0.2">
      <c r="B69" s="414"/>
      <c r="C69" s="414"/>
      <c r="D69" s="414"/>
      <c r="E69" s="414"/>
      <c r="F69" s="414"/>
      <c r="G69" s="414"/>
    </row>
    <row r="70" spans="1:7" ht="12.75" customHeight="1" x14ac:dyDescent="0.2">
      <c r="B70" s="414"/>
      <c r="C70" s="414"/>
      <c r="D70" s="414"/>
      <c r="E70" s="414"/>
      <c r="F70" s="414"/>
      <c r="G70" s="414"/>
    </row>
    <row r="71" spans="1:7" ht="12.75" customHeight="1" x14ac:dyDescent="0.2">
      <c r="B71" s="414"/>
      <c r="C71" s="414"/>
      <c r="D71" s="414"/>
      <c r="E71" s="414"/>
      <c r="F71" s="414"/>
      <c r="G71" s="414"/>
    </row>
    <row r="72" spans="1:7" ht="12.75" customHeight="1" x14ac:dyDescent="0.2">
      <c r="B72" s="414"/>
      <c r="C72" s="414"/>
      <c r="D72" s="414"/>
      <c r="E72" s="414"/>
      <c r="F72" s="414"/>
      <c r="G72" s="414"/>
    </row>
    <row r="73" spans="1:7" ht="12.75" customHeight="1" x14ac:dyDescent="0.2">
      <c r="B73" s="414"/>
      <c r="C73" s="414"/>
      <c r="D73" s="414"/>
      <c r="E73" s="414"/>
      <c r="F73" s="414"/>
      <c r="G73" s="414"/>
    </row>
    <row r="74" spans="1:7" ht="12.75" customHeight="1" x14ac:dyDescent="0.2">
      <c r="B74" s="414"/>
      <c r="C74" s="414"/>
      <c r="D74" s="414"/>
      <c r="E74" s="414"/>
      <c r="F74" s="414"/>
      <c r="G74" s="414"/>
    </row>
    <row r="75" spans="1:7" ht="12.75" customHeight="1" x14ac:dyDescent="0.2">
      <c r="B75" s="414"/>
      <c r="C75" s="414"/>
      <c r="D75" s="414"/>
      <c r="E75" s="414"/>
      <c r="F75" s="414"/>
      <c r="G75" s="414"/>
    </row>
    <row r="76" spans="1:7" ht="12.75" customHeight="1" x14ac:dyDescent="0.2">
      <c r="B76" s="414"/>
      <c r="C76" s="414"/>
      <c r="D76" s="414"/>
      <c r="E76" s="414"/>
      <c r="F76" s="414"/>
      <c r="G76" s="414"/>
    </row>
    <row r="77" spans="1:7" ht="12.75" customHeight="1" x14ac:dyDescent="0.2">
      <c r="B77" s="414"/>
      <c r="C77" s="414"/>
      <c r="D77" s="414"/>
      <c r="E77" s="414"/>
      <c r="F77" s="414"/>
      <c r="G77" s="414"/>
    </row>
    <row r="78" spans="1:7" ht="12.75" customHeight="1" x14ac:dyDescent="0.2">
      <c r="B78" s="414"/>
      <c r="C78" s="414"/>
      <c r="D78" s="414"/>
      <c r="E78" s="414"/>
      <c r="F78" s="414"/>
      <c r="G78" s="414"/>
    </row>
    <row r="79" spans="1:7" ht="12.75" customHeight="1" x14ac:dyDescent="0.2">
      <c r="B79" s="414"/>
      <c r="C79" s="414"/>
      <c r="D79" s="414"/>
      <c r="E79" s="414"/>
      <c r="F79" s="414"/>
      <c r="G79" s="414"/>
    </row>
    <row r="80" spans="1:7" ht="12.75" customHeight="1" x14ac:dyDescent="0.2">
      <c r="B80" s="414"/>
      <c r="C80" s="414"/>
      <c r="D80" s="414"/>
      <c r="E80" s="414"/>
      <c r="F80" s="414"/>
      <c r="G80" s="414"/>
    </row>
    <row r="81" spans="2:7" ht="24" customHeight="1" x14ac:dyDescent="0.2">
      <c r="B81" s="414"/>
      <c r="C81" s="414"/>
      <c r="D81" s="414"/>
      <c r="E81" s="414"/>
      <c r="F81" s="414"/>
      <c r="G81" s="414"/>
    </row>
    <row r="82" spans="2:7" ht="12.75" customHeight="1" x14ac:dyDescent="0.2"/>
    <row r="83" spans="2:7" ht="12.75" customHeight="1" x14ac:dyDescent="0.2">
      <c r="B83" s="9"/>
    </row>
    <row r="84" spans="2:7" x14ac:dyDescent="0.2">
      <c r="B84" s="9"/>
    </row>
    <row r="85" spans="2:7" x14ac:dyDescent="0.2">
      <c r="B85" s="9"/>
    </row>
    <row r="86" spans="2:7" x14ac:dyDescent="0.2">
      <c r="B86" s="9"/>
    </row>
    <row r="88" spans="2:7" x14ac:dyDescent="0.2">
      <c r="B88" s="9"/>
    </row>
  </sheetData>
  <sheetProtection password="E89C" sheet="1" objects="1" scenarios="1" selectLockedCells="1"/>
  <mergeCells count="20">
    <mergeCell ref="B65:G81"/>
    <mergeCell ref="B57:G57"/>
    <mergeCell ref="B59:G59"/>
    <mergeCell ref="B60:G60"/>
    <mergeCell ref="B61:G61"/>
    <mergeCell ref="B62:G62"/>
    <mergeCell ref="B63:G63"/>
    <mergeCell ref="B58:G58"/>
    <mergeCell ref="B56:G56"/>
    <mergeCell ref="C4:E4"/>
    <mergeCell ref="F21:G21"/>
    <mergeCell ref="F24:G24"/>
    <mergeCell ref="F25:G25"/>
    <mergeCell ref="C28:E28"/>
    <mergeCell ref="F28:G28"/>
    <mergeCell ref="B30:C30"/>
    <mergeCell ref="D30:E30"/>
    <mergeCell ref="F30:G30"/>
    <mergeCell ref="D31:E31"/>
    <mergeCell ref="C49:E49"/>
  </mergeCells>
  <pageMargins left="0.7" right="0.7" top="0.75" bottom="0.75" header="0.3" footer="0.3"/>
  <pageSetup fitToHeight="0" orientation="portrait" r:id="rId1"/>
  <headerFooter alignWithMargins="0">
    <oddHeader>&amp;LBID-WELL: A TEREX Company
PO Box 97, Canton, SD 57013&amp;CPAVER WHEEL LOAD
WEIGHT CALCULATOR&amp;R&amp;F
KJK 033017</oddHeader>
    <oddFooter>&amp;LTab: &amp;A&amp;CPage &amp;P of &amp;N&amp;RPrinted: &amp;D</oddFooter>
  </headerFooter>
  <rowBreaks count="1" manualBreakCount="1">
    <brk id="52" max="16383" man="1"/>
  </rowBreaks>
  <colBreaks count="1" manualBreakCount="1">
    <brk id="8"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88"/>
  <sheetViews>
    <sheetView zoomScaleNormal="100" zoomScaleSheetLayoutView="100" zoomScalePageLayoutView="85" workbookViewId="0">
      <selection activeCell="C1" sqref="C1"/>
    </sheetView>
  </sheetViews>
  <sheetFormatPr defaultColWidth="9.140625" defaultRowHeight="12.75" x14ac:dyDescent="0.2"/>
  <cols>
    <col min="1" max="1" width="2.42578125" style="1" customWidth="1"/>
    <col min="2" max="2" width="20.7109375" style="1" customWidth="1"/>
    <col min="3" max="3" width="12.7109375" style="1" customWidth="1"/>
    <col min="4" max="7" width="10.7109375" style="1" customWidth="1"/>
    <col min="8" max="8" width="2.42578125" style="1" customWidth="1"/>
    <col min="9" max="13" width="9.140625" style="1"/>
    <col min="14" max="14" width="12.140625" style="1" bestFit="1" customWidth="1"/>
    <col min="15" max="256" width="9.140625" style="1"/>
    <col min="257" max="257" width="2.42578125" style="1" customWidth="1"/>
    <col min="258" max="258" width="20.7109375" style="1" customWidth="1"/>
    <col min="259" max="259" width="12.7109375" style="1" customWidth="1"/>
    <col min="260" max="263" width="10.7109375" style="1" customWidth="1"/>
    <col min="264" max="264" width="2.42578125" style="1" customWidth="1"/>
    <col min="265" max="269" width="9.140625" style="1"/>
    <col min="270" max="270" width="12.140625" style="1" bestFit="1" customWidth="1"/>
    <col min="271" max="512" width="9.140625" style="1"/>
    <col min="513" max="513" width="2.42578125" style="1" customWidth="1"/>
    <col min="514" max="514" width="20.7109375" style="1" customWidth="1"/>
    <col min="515" max="515" width="12.7109375" style="1" customWidth="1"/>
    <col min="516" max="519" width="10.7109375" style="1" customWidth="1"/>
    <col min="520" max="520" width="2.42578125" style="1" customWidth="1"/>
    <col min="521" max="525" width="9.140625" style="1"/>
    <col min="526" max="526" width="12.140625" style="1" bestFit="1" customWidth="1"/>
    <col min="527" max="768" width="9.140625" style="1"/>
    <col min="769" max="769" width="2.42578125" style="1" customWidth="1"/>
    <col min="770" max="770" width="20.7109375" style="1" customWidth="1"/>
    <col min="771" max="771" width="12.7109375" style="1" customWidth="1"/>
    <col min="772" max="775" width="10.7109375" style="1" customWidth="1"/>
    <col min="776" max="776" width="2.42578125" style="1" customWidth="1"/>
    <col min="777" max="781" width="9.140625" style="1"/>
    <col min="782" max="782" width="12.140625" style="1" bestFit="1" customWidth="1"/>
    <col min="783" max="1024" width="9.140625" style="1"/>
    <col min="1025" max="1025" width="2.42578125" style="1" customWidth="1"/>
    <col min="1026" max="1026" width="20.7109375" style="1" customWidth="1"/>
    <col min="1027" max="1027" width="12.7109375" style="1" customWidth="1"/>
    <col min="1028" max="1031" width="10.7109375" style="1" customWidth="1"/>
    <col min="1032" max="1032" width="2.42578125" style="1" customWidth="1"/>
    <col min="1033" max="1037" width="9.140625" style="1"/>
    <col min="1038" max="1038" width="12.140625" style="1" bestFit="1" customWidth="1"/>
    <col min="1039" max="1280" width="9.140625" style="1"/>
    <col min="1281" max="1281" width="2.42578125" style="1" customWidth="1"/>
    <col min="1282" max="1282" width="20.7109375" style="1" customWidth="1"/>
    <col min="1283" max="1283" width="12.7109375" style="1" customWidth="1"/>
    <col min="1284" max="1287" width="10.7109375" style="1" customWidth="1"/>
    <col min="1288" max="1288" width="2.42578125" style="1" customWidth="1"/>
    <col min="1289" max="1293" width="9.140625" style="1"/>
    <col min="1294" max="1294" width="12.140625" style="1" bestFit="1" customWidth="1"/>
    <col min="1295" max="1536" width="9.140625" style="1"/>
    <col min="1537" max="1537" width="2.42578125" style="1" customWidth="1"/>
    <col min="1538" max="1538" width="20.7109375" style="1" customWidth="1"/>
    <col min="1539" max="1539" width="12.7109375" style="1" customWidth="1"/>
    <col min="1540" max="1543" width="10.7109375" style="1" customWidth="1"/>
    <col min="1544" max="1544" width="2.42578125" style="1" customWidth="1"/>
    <col min="1545" max="1549" width="9.140625" style="1"/>
    <col min="1550" max="1550" width="12.140625" style="1" bestFit="1" customWidth="1"/>
    <col min="1551" max="1792" width="9.140625" style="1"/>
    <col min="1793" max="1793" width="2.42578125" style="1" customWidth="1"/>
    <col min="1794" max="1794" width="20.7109375" style="1" customWidth="1"/>
    <col min="1795" max="1795" width="12.7109375" style="1" customWidth="1"/>
    <col min="1796" max="1799" width="10.7109375" style="1" customWidth="1"/>
    <col min="1800" max="1800" width="2.42578125" style="1" customWidth="1"/>
    <col min="1801" max="1805" width="9.140625" style="1"/>
    <col min="1806" max="1806" width="12.140625" style="1" bestFit="1" customWidth="1"/>
    <col min="1807" max="2048" width="9.140625" style="1"/>
    <col min="2049" max="2049" width="2.42578125" style="1" customWidth="1"/>
    <col min="2050" max="2050" width="20.7109375" style="1" customWidth="1"/>
    <col min="2051" max="2051" width="12.7109375" style="1" customWidth="1"/>
    <col min="2052" max="2055" width="10.7109375" style="1" customWidth="1"/>
    <col min="2056" max="2056" width="2.42578125" style="1" customWidth="1"/>
    <col min="2057" max="2061" width="9.140625" style="1"/>
    <col min="2062" max="2062" width="12.140625" style="1" bestFit="1" customWidth="1"/>
    <col min="2063" max="2304" width="9.140625" style="1"/>
    <col min="2305" max="2305" width="2.42578125" style="1" customWidth="1"/>
    <col min="2306" max="2306" width="20.7109375" style="1" customWidth="1"/>
    <col min="2307" max="2307" width="12.7109375" style="1" customWidth="1"/>
    <col min="2308" max="2311" width="10.7109375" style="1" customWidth="1"/>
    <col min="2312" max="2312" width="2.42578125" style="1" customWidth="1"/>
    <col min="2313" max="2317" width="9.140625" style="1"/>
    <col min="2318" max="2318" width="12.140625" style="1" bestFit="1" customWidth="1"/>
    <col min="2319" max="2560" width="9.140625" style="1"/>
    <col min="2561" max="2561" width="2.42578125" style="1" customWidth="1"/>
    <col min="2562" max="2562" width="20.7109375" style="1" customWidth="1"/>
    <col min="2563" max="2563" width="12.7109375" style="1" customWidth="1"/>
    <col min="2564" max="2567" width="10.7109375" style="1" customWidth="1"/>
    <col min="2568" max="2568" width="2.42578125" style="1" customWidth="1"/>
    <col min="2569" max="2573" width="9.140625" style="1"/>
    <col min="2574" max="2574" width="12.140625" style="1" bestFit="1" customWidth="1"/>
    <col min="2575" max="2816" width="9.140625" style="1"/>
    <col min="2817" max="2817" width="2.42578125" style="1" customWidth="1"/>
    <col min="2818" max="2818" width="20.7109375" style="1" customWidth="1"/>
    <col min="2819" max="2819" width="12.7109375" style="1" customWidth="1"/>
    <col min="2820" max="2823" width="10.7109375" style="1" customWidth="1"/>
    <col min="2824" max="2824" width="2.42578125" style="1" customWidth="1"/>
    <col min="2825" max="2829" width="9.140625" style="1"/>
    <col min="2830" max="2830" width="12.140625" style="1" bestFit="1" customWidth="1"/>
    <col min="2831" max="3072" width="9.140625" style="1"/>
    <col min="3073" max="3073" width="2.42578125" style="1" customWidth="1"/>
    <col min="3074" max="3074" width="20.7109375" style="1" customWidth="1"/>
    <col min="3075" max="3075" width="12.7109375" style="1" customWidth="1"/>
    <col min="3076" max="3079" width="10.7109375" style="1" customWidth="1"/>
    <col min="3080" max="3080" width="2.42578125" style="1" customWidth="1"/>
    <col min="3081" max="3085" width="9.140625" style="1"/>
    <col min="3086" max="3086" width="12.140625" style="1" bestFit="1" customWidth="1"/>
    <col min="3087" max="3328" width="9.140625" style="1"/>
    <col min="3329" max="3329" width="2.42578125" style="1" customWidth="1"/>
    <col min="3330" max="3330" width="20.7109375" style="1" customWidth="1"/>
    <col min="3331" max="3331" width="12.7109375" style="1" customWidth="1"/>
    <col min="3332" max="3335" width="10.7109375" style="1" customWidth="1"/>
    <col min="3336" max="3336" width="2.42578125" style="1" customWidth="1"/>
    <col min="3337" max="3341" width="9.140625" style="1"/>
    <col min="3342" max="3342" width="12.140625" style="1" bestFit="1" customWidth="1"/>
    <col min="3343" max="3584" width="9.140625" style="1"/>
    <col min="3585" max="3585" width="2.42578125" style="1" customWidth="1"/>
    <col min="3586" max="3586" width="20.7109375" style="1" customWidth="1"/>
    <col min="3587" max="3587" width="12.7109375" style="1" customWidth="1"/>
    <col min="3588" max="3591" width="10.7109375" style="1" customWidth="1"/>
    <col min="3592" max="3592" width="2.42578125" style="1" customWidth="1"/>
    <col min="3593" max="3597" width="9.140625" style="1"/>
    <col min="3598" max="3598" width="12.140625" style="1" bestFit="1" customWidth="1"/>
    <col min="3599" max="3840" width="9.140625" style="1"/>
    <col min="3841" max="3841" width="2.42578125" style="1" customWidth="1"/>
    <col min="3842" max="3842" width="20.7109375" style="1" customWidth="1"/>
    <col min="3843" max="3843" width="12.7109375" style="1" customWidth="1"/>
    <col min="3844" max="3847" width="10.7109375" style="1" customWidth="1"/>
    <col min="3848" max="3848" width="2.42578125" style="1" customWidth="1"/>
    <col min="3849" max="3853" width="9.140625" style="1"/>
    <col min="3854" max="3854" width="12.140625" style="1" bestFit="1" customWidth="1"/>
    <col min="3855" max="4096" width="9.140625" style="1"/>
    <col min="4097" max="4097" width="2.42578125" style="1" customWidth="1"/>
    <col min="4098" max="4098" width="20.7109375" style="1" customWidth="1"/>
    <col min="4099" max="4099" width="12.7109375" style="1" customWidth="1"/>
    <col min="4100" max="4103" width="10.7109375" style="1" customWidth="1"/>
    <col min="4104" max="4104" width="2.42578125" style="1" customWidth="1"/>
    <col min="4105" max="4109" width="9.140625" style="1"/>
    <col min="4110" max="4110" width="12.140625" style="1" bestFit="1" customWidth="1"/>
    <col min="4111" max="4352" width="9.140625" style="1"/>
    <col min="4353" max="4353" width="2.42578125" style="1" customWidth="1"/>
    <col min="4354" max="4354" width="20.7109375" style="1" customWidth="1"/>
    <col min="4355" max="4355" width="12.7109375" style="1" customWidth="1"/>
    <col min="4356" max="4359" width="10.7109375" style="1" customWidth="1"/>
    <col min="4360" max="4360" width="2.42578125" style="1" customWidth="1"/>
    <col min="4361" max="4365" width="9.140625" style="1"/>
    <col min="4366" max="4366" width="12.140625" style="1" bestFit="1" customWidth="1"/>
    <col min="4367" max="4608" width="9.140625" style="1"/>
    <col min="4609" max="4609" width="2.42578125" style="1" customWidth="1"/>
    <col min="4610" max="4610" width="20.7109375" style="1" customWidth="1"/>
    <col min="4611" max="4611" width="12.7109375" style="1" customWidth="1"/>
    <col min="4612" max="4615" width="10.7109375" style="1" customWidth="1"/>
    <col min="4616" max="4616" width="2.42578125" style="1" customWidth="1"/>
    <col min="4617" max="4621" width="9.140625" style="1"/>
    <col min="4622" max="4622" width="12.140625" style="1" bestFit="1" customWidth="1"/>
    <col min="4623" max="4864" width="9.140625" style="1"/>
    <col min="4865" max="4865" width="2.42578125" style="1" customWidth="1"/>
    <col min="4866" max="4866" width="20.7109375" style="1" customWidth="1"/>
    <col min="4867" max="4867" width="12.7109375" style="1" customWidth="1"/>
    <col min="4868" max="4871" width="10.7109375" style="1" customWidth="1"/>
    <col min="4872" max="4872" width="2.42578125" style="1" customWidth="1"/>
    <col min="4873" max="4877" width="9.140625" style="1"/>
    <col min="4878" max="4878" width="12.140625" style="1" bestFit="1" customWidth="1"/>
    <col min="4879" max="5120" width="9.140625" style="1"/>
    <col min="5121" max="5121" width="2.42578125" style="1" customWidth="1"/>
    <col min="5122" max="5122" width="20.7109375" style="1" customWidth="1"/>
    <col min="5123" max="5123" width="12.7109375" style="1" customWidth="1"/>
    <col min="5124" max="5127" width="10.7109375" style="1" customWidth="1"/>
    <col min="5128" max="5128" width="2.42578125" style="1" customWidth="1"/>
    <col min="5129" max="5133" width="9.140625" style="1"/>
    <col min="5134" max="5134" width="12.140625" style="1" bestFit="1" customWidth="1"/>
    <col min="5135" max="5376" width="9.140625" style="1"/>
    <col min="5377" max="5377" width="2.42578125" style="1" customWidth="1"/>
    <col min="5378" max="5378" width="20.7109375" style="1" customWidth="1"/>
    <col min="5379" max="5379" width="12.7109375" style="1" customWidth="1"/>
    <col min="5380" max="5383" width="10.7109375" style="1" customWidth="1"/>
    <col min="5384" max="5384" width="2.42578125" style="1" customWidth="1"/>
    <col min="5385" max="5389" width="9.140625" style="1"/>
    <col min="5390" max="5390" width="12.140625" style="1" bestFit="1" customWidth="1"/>
    <col min="5391" max="5632" width="9.140625" style="1"/>
    <col min="5633" max="5633" width="2.42578125" style="1" customWidth="1"/>
    <col min="5634" max="5634" width="20.7109375" style="1" customWidth="1"/>
    <col min="5635" max="5635" width="12.7109375" style="1" customWidth="1"/>
    <col min="5636" max="5639" width="10.7109375" style="1" customWidth="1"/>
    <col min="5640" max="5640" width="2.42578125" style="1" customWidth="1"/>
    <col min="5641" max="5645" width="9.140625" style="1"/>
    <col min="5646" max="5646" width="12.140625" style="1" bestFit="1" customWidth="1"/>
    <col min="5647" max="5888" width="9.140625" style="1"/>
    <col min="5889" max="5889" width="2.42578125" style="1" customWidth="1"/>
    <col min="5890" max="5890" width="20.7109375" style="1" customWidth="1"/>
    <col min="5891" max="5891" width="12.7109375" style="1" customWidth="1"/>
    <col min="5892" max="5895" width="10.7109375" style="1" customWidth="1"/>
    <col min="5896" max="5896" width="2.42578125" style="1" customWidth="1"/>
    <col min="5897" max="5901" width="9.140625" style="1"/>
    <col min="5902" max="5902" width="12.140625" style="1" bestFit="1" customWidth="1"/>
    <col min="5903" max="6144" width="9.140625" style="1"/>
    <col min="6145" max="6145" width="2.42578125" style="1" customWidth="1"/>
    <col min="6146" max="6146" width="20.7109375" style="1" customWidth="1"/>
    <col min="6147" max="6147" width="12.7109375" style="1" customWidth="1"/>
    <col min="6148" max="6151" width="10.7109375" style="1" customWidth="1"/>
    <col min="6152" max="6152" width="2.42578125" style="1" customWidth="1"/>
    <col min="6153" max="6157" width="9.140625" style="1"/>
    <col min="6158" max="6158" width="12.140625" style="1" bestFit="1" customWidth="1"/>
    <col min="6159" max="6400" width="9.140625" style="1"/>
    <col min="6401" max="6401" width="2.42578125" style="1" customWidth="1"/>
    <col min="6402" max="6402" width="20.7109375" style="1" customWidth="1"/>
    <col min="6403" max="6403" width="12.7109375" style="1" customWidth="1"/>
    <col min="6404" max="6407" width="10.7109375" style="1" customWidth="1"/>
    <col min="6408" max="6408" width="2.42578125" style="1" customWidth="1"/>
    <col min="6409" max="6413" width="9.140625" style="1"/>
    <col min="6414" max="6414" width="12.140625" style="1" bestFit="1" customWidth="1"/>
    <col min="6415" max="6656" width="9.140625" style="1"/>
    <col min="6657" max="6657" width="2.42578125" style="1" customWidth="1"/>
    <col min="6658" max="6658" width="20.7109375" style="1" customWidth="1"/>
    <col min="6659" max="6659" width="12.7109375" style="1" customWidth="1"/>
    <col min="6660" max="6663" width="10.7109375" style="1" customWidth="1"/>
    <col min="6664" max="6664" width="2.42578125" style="1" customWidth="1"/>
    <col min="6665" max="6669" width="9.140625" style="1"/>
    <col min="6670" max="6670" width="12.140625" style="1" bestFit="1" customWidth="1"/>
    <col min="6671" max="6912" width="9.140625" style="1"/>
    <col min="6913" max="6913" width="2.42578125" style="1" customWidth="1"/>
    <col min="6914" max="6914" width="20.7109375" style="1" customWidth="1"/>
    <col min="6915" max="6915" width="12.7109375" style="1" customWidth="1"/>
    <col min="6916" max="6919" width="10.7109375" style="1" customWidth="1"/>
    <col min="6920" max="6920" width="2.42578125" style="1" customWidth="1"/>
    <col min="6921" max="6925" width="9.140625" style="1"/>
    <col min="6926" max="6926" width="12.140625" style="1" bestFit="1" customWidth="1"/>
    <col min="6927" max="7168" width="9.140625" style="1"/>
    <col min="7169" max="7169" width="2.42578125" style="1" customWidth="1"/>
    <col min="7170" max="7170" width="20.7109375" style="1" customWidth="1"/>
    <col min="7171" max="7171" width="12.7109375" style="1" customWidth="1"/>
    <col min="7172" max="7175" width="10.7109375" style="1" customWidth="1"/>
    <col min="7176" max="7176" width="2.42578125" style="1" customWidth="1"/>
    <col min="7177" max="7181" width="9.140625" style="1"/>
    <col min="7182" max="7182" width="12.140625" style="1" bestFit="1" customWidth="1"/>
    <col min="7183" max="7424" width="9.140625" style="1"/>
    <col min="7425" max="7425" width="2.42578125" style="1" customWidth="1"/>
    <col min="7426" max="7426" width="20.7109375" style="1" customWidth="1"/>
    <col min="7427" max="7427" width="12.7109375" style="1" customWidth="1"/>
    <col min="7428" max="7431" width="10.7109375" style="1" customWidth="1"/>
    <col min="7432" max="7432" width="2.42578125" style="1" customWidth="1"/>
    <col min="7433" max="7437" width="9.140625" style="1"/>
    <col min="7438" max="7438" width="12.140625" style="1" bestFit="1" customWidth="1"/>
    <col min="7439" max="7680" width="9.140625" style="1"/>
    <col min="7681" max="7681" width="2.42578125" style="1" customWidth="1"/>
    <col min="7682" max="7682" width="20.7109375" style="1" customWidth="1"/>
    <col min="7683" max="7683" width="12.7109375" style="1" customWidth="1"/>
    <col min="7684" max="7687" width="10.7109375" style="1" customWidth="1"/>
    <col min="7688" max="7688" width="2.42578125" style="1" customWidth="1"/>
    <col min="7689" max="7693" width="9.140625" style="1"/>
    <col min="7694" max="7694" width="12.140625" style="1" bestFit="1" customWidth="1"/>
    <col min="7695" max="7936" width="9.140625" style="1"/>
    <col min="7937" max="7937" width="2.42578125" style="1" customWidth="1"/>
    <col min="7938" max="7938" width="20.7109375" style="1" customWidth="1"/>
    <col min="7939" max="7939" width="12.7109375" style="1" customWidth="1"/>
    <col min="7940" max="7943" width="10.7109375" style="1" customWidth="1"/>
    <col min="7944" max="7944" width="2.42578125" style="1" customWidth="1"/>
    <col min="7945" max="7949" width="9.140625" style="1"/>
    <col min="7950" max="7950" width="12.140625" style="1" bestFit="1" customWidth="1"/>
    <col min="7951" max="8192" width="9.140625" style="1"/>
    <col min="8193" max="8193" width="2.42578125" style="1" customWidth="1"/>
    <col min="8194" max="8194" width="20.7109375" style="1" customWidth="1"/>
    <col min="8195" max="8195" width="12.7109375" style="1" customWidth="1"/>
    <col min="8196" max="8199" width="10.7109375" style="1" customWidth="1"/>
    <col min="8200" max="8200" width="2.42578125" style="1" customWidth="1"/>
    <col min="8201" max="8205" width="9.140625" style="1"/>
    <col min="8206" max="8206" width="12.140625" style="1" bestFit="1" customWidth="1"/>
    <col min="8207" max="8448" width="9.140625" style="1"/>
    <col min="8449" max="8449" width="2.42578125" style="1" customWidth="1"/>
    <col min="8450" max="8450" width="20.7109375" style="1" customWidth="1"/>
    <col min="8451" max="8451" width="12.7109375" style="1" customWidth="1"/>
    <col min="8452" max="8455" width="10.7109375" style="1" customWidth="1"/>
    <col min="8456" max="8456" width="2.42578125" style="1" customWidth="1"/>
    <col min="8457" max="8461" width="9.140625" style="1"/>
    <col min="8462" max="8462" width="12.140625" style="1" bestFit="1" customWidth="1"/>
    <col min="8463" max="8704" width="9.140625" style="1"/>
    <col min="8705" max="8705" width="2.42578125" style="1" customWidth="1"/>
    <col min="8706" max="8706" width="20.7109375" style="1" customWidth="1"/>
    <col min="8707" max="8707" width="12.7109375" style="1" customWidth="1"/>
    <col min="8708" max="8711" width="10.7109375" style="1" customWidth="1"/>
    <col min="8712" max="8712" width="2.42578125" style="1" customWidth="1"/>
    <col min="8713" max="8717" width="9.140625" style="1"/>
    <col min="8718" max="8718" width="12.140625" style="1" bestFit="1" customWidth="1"/>
    <col min="8719" max="8960" width="9.140625" style="1"/>
    <col min="8961" max="8961" width="2.42578125" style="1" customWidth="1"/>
    <col min="8962" max="8962" width="20.7109375" style="1" customWidth="1"/>
    <col min="8963" max="8963" width="12.7109375" style="1" customWidth="1"/>
    <col min="8964" max="8967" width="10.7109375" style="1" customWidth="1"/>
    <col min="8968" max="8968" width="2.42578125" style="1" customWidth="1"/>
    <col min="8969" max="8973" width="9.140625" style="1"/>
    <col min="8974" max="8974" width="12.140625" style="1" bestFit="1" customWidth="1"/>
    <col min="8975" max="9216" width="9.140625" style="1"/>
    <col min="9217" max="9217" width="2.42578125" style="1" customWidth="1"/>
    <col min="9218" max="9218" width="20.7109375" style="1" customWidth="1"/>
    <col min="9219" max="9219" width="12.7109375" style="1" customWidth="1"/>
    <col min="9220" max="9223" width="10.7109375" style="1" customWidth="1"/>
    <col min="9224" max="9224" width="2.42578125" style="1" customWidth="1"/>
    <col min="9225" max="9229" width="9.140625" style="1"/>
    <col min="9230" max="9230" width="12.140625" style="1" bestFit="1" customWidth="1"/>
    <col min="9231" max="9472" width="9.140625" style="1"/>
    <col min="9473" max="9473" width="2.42578125" style="1" customWidth="1"/>
    <col min="9474" max="9474" width="20.7109375" style="1" customWidth="1"/>
    <col min="9475" max="9475" width="12.7109375" style="1" customWidth="1"/>
    <col min="9476" max="9479" width="10.7109375" style="1" customWidth="1"/>
    <col min="9480" max="9480" width="2.42578125" style="1" customWidth="1"/>
    <col min="9481" max="9485" width="9.140625" style="1"/>
    <col min="9486" max="9486" width="12.140625" style="1" bestFit="1" customWidth="1"/>
    <col min="9487" max="9728" width="9.140625" style="1"/>
    <col min="9729" max="9729" width="2.42578125" style="1" customWidth="1"/>
    <col min="9730" max="9730" width="20.7109375" style="1" customWidth="1"/>
    <col min="9731" max="9731" width="12.7109375" style="1" customWidth="1"/>
    <col min="9732" max="9735" width="10.7109375" style="1" customWidth="1"/>
    <col min="9736" max="9736" width="2.42578125" style="1" customWidth="1"/>
    <col min="9737" max="9741" width="9.140625" style="1"/>
    <col min="9742" max="9742" width="12.140625" style="1" bestFit="1" customWidth="1"/>
    <col min="9743" max="9984" width="9.140625" style="1"/>
    <col min="9985" max="9985" width="2.42578125" style="1" customWidth="1"/>
    <col min="9986" max="9986" width="20.7109375" style="1" customWidth="1"/>
    <col min="9987" max="9987" width="12.7109375" style="1" customWidth="1"/>
    <col min="9988" max="9991" width="10.7109375" style="1" customWidth="1"/>
    <col min="9992" max="9992" width="2.42578125" style="1" customWidth="1"/>
    <col min="9993" max="9997" width="9.140625" style="1"/>
    <col min="9998" max="9998" width="12.140625" style="1" bestFit="1" customWidth="1"/>
    <col min="9999" max="10240" width="9.140625" style="1"/>
    <col min="10241" max="10241" width="2.42578125" style="1" customWidth="1"/>
    <col min="10242" max="10242" width="20.7109375" style="1" customWidth="1"/>
    <col min="10243" max="10243" width="12.7109375" style="1" customWidth="1"/>
    <col min="10244" max="10247" width="10.7109375" style="1" customWidth="1"/>
    <col min="10248" max="10248" width="2.42578125" style="1" customWidth="1"/>
    <col min="10249" max="10253" width="9.140625" style="1"/>
    <col min="10254" max="10254" width="12.140625" style="1" bestFit="1" customWidth="1"/>
    <col min="10255" max="10496" width="9.140625" style="1"/>
    <col min="10497" max="10497" width="2.42578125" style="1" customWidth="1"/>
    <col min="10498" max="10498" width="20.7109375" style="1" customWidth="1"/>
    <col min="10499" max="10499" width="12.7109375" style="1" customWidth="1"/>
    <col min="10500" max="10503" width="10.7109375" style="1" customWidth="1"/>
    <col min="10504" max="10504" width="2.42578125" style="1" customWidth="1"/>
    <col min="10505" max="10509" width="9.140625" style="1"/>
    <col min="10510" max="10510" width="12.140625" style="1" bestFit="1" customWidth="1"/>
    <col min="10511" max="10752" width="9.140625" style="1"/>
    <col min="10753" max="10753" width="2.42578125" style="1" customWidth="1"/>
    <col min="10754" max="10754" width="20.7109375" style="1" customWidth="1"/>
    <col min="10755" max="10755" width="12.7109375" style="1" customWidth="1"/>
    <col min="10756" max="10759" width="10.7109375" style="1" customWidth="1"/>
    <col min="10760" max="10760" width="2.42578125" style="1" customWidth="1"/>
    <col min="10761" max="10765" width="9.140625" style="1"/>
    <col min="10766" max="10766" width="12.140625" style="1" bestFit="1" customWidth="1"/>
    <col min="10767" max="11008" width="9.140625" style="1"/>
    <col min="11009" max="11009" width="2.42578125" style="1" customWidth="1"/>
    <col min="11010" max="11010" width="20.7109375" style="1" customWidth="1"/>
    <col min="11011" max="11011" width="12.7109375" style="1" customWidth="1"/>
    <col min="11012" max="11015" width="10.7109375" style="1" customWidth="1"/>
    <col min="11016" max="11016" width="2.42578125" style="1" customWidth="1"/>
    <col min="11017" max="11021" width="9.140625" style="1"/>
    <col min="11022" max="11022" width="12.140625" style="1" bestFit="1" customWidth="1"/>
    <col min="11023" max="11264" width="9.140625" style="1"/>
    <col min="11265" max="11265" width="2.42578125" style="1" customWidth="1"/>
    <col min="11266" max="11266" width="20.7109375" style="1" customWidth="1"/>
    <col min="11267" max="11267" width="12.7109375" style="1" customWidth="1"/>
    <col min="11268" max="11271" width="10.7109375" style="1" customWidth="1"/>
    <col min="11272" max="11272" width="2.42578125" style="1" customWidth="1"/>
    <col min="11273" max="11277" width="9.140625" style="1"/>
    <col min="11278" max="11278" width="12.140625" style="1" bestFit="1" customWidth="1"/>
    <col min="11279" max="11520" width="9.140625" style="1"/>
    <col min="11521" max="11521" width="2.42578125" style="1" customWidth="1"/>
    <col min="11522" max="11522" width="20.7109375" style="1" customWidth="1"/>
    <col min="11523" max="11523" width="12.7109375" style="1" customWidth="1"/>
    <col min="11524" max="11527" width="10.7109375" style="1" customWidth="1"/>
    <col min="11528" max="11528" width="2.42578125" style="1" customWidth="1"/>
    <col min="11529" max="11533" width="9.140625" style="1"/>
    <col min="11534" max="11534" width="12.140625" style="1" bestFit="1" customWidth="1"/>
    <col min="11535" max="11776" width="9.140625" style="1"/>
    <col min="11777" max="11777" width="2.42578125" style="1" customWidth="1"/>
    <col min="11778" max="11778" width="20.7109375" style="1" customWidth="1"/>
    <col min="11779" max="11779" width="12.7109375" style="1" customWidth="1"/>
    <col min="11780" max="11783" width="10.7109375" style="1" customWidth="1"/>
    <col min="11784" max="11784" width="2.42578125" style="1" customWidth="1"/>
    <col min="11785" max="11789" width="9.140625" style="1"/>
    <col min="11790" max="11790" width="12.140625" style="1" bestFit="1" customWidth="1"/>
    <col min="11791" max="12032" width="9.140625" style="1"/>
    <col min="12033" max="12033" width="2.42578125" style="1" customWidth="1"/>
    <col min="12034" max="12034" width="20.7109375" style="1" customWidth="1"/>
    <col min="12035" max="12035" width="12.7109375" style="1" customWidth="1"/>
    <col min="12036" max="12039" width="10.7109375" style="1" customWidth="1"/>
    <col min="12040" max="12040" width="2.42578125" style="1" customWidth="1"/>
    <col min="12041" max="12045" width="9.140625" style="1"/>
    <col min="12046" max="12046" width="12.140625" style="1" bestFit="1" customWidth="1"/>
    <col min="12047" max="12288" width="9.140625" style="1"/>
    <col min="12289" max="12289" width="2.42578125" style="1" customWidth="1"/>
    <col min="12290" max="12290" width="20.7109375" style="1" customWidth="1"/>
    <col min="12291" max="12291" width="12.7109375" style="1" customWidth="1"/>
    <col min="12292" max="12295" width="10.7109375" style="1" customWidth="1"/>
    <col min="12296" max="12296" width="2.42578125" style="1" customWidth="1"/>
    <col min="12297" max="12301" width="9.140625" style="1"/>
    <col min="12302" max="12302" width="12.140625" style="1" bestFit="1" customWidth="1"/>
    <col min="12303" max="12544" width="9.140625" style="1"/>
    <col min="12545" max="12545" width="2.42578125" style="1" customWidth="1"/>
    <col min="12546" max="12546" width="20.7109375" style="1" customWidth="1"/>
    <col min="12547" max="12547" width="12.7109375" style="1" customWidth="1"/>
    <col min="12548" max="12551" width="10.7109375" style="1" customWidth="1"/>
    <col min="12552" max="12552" width="2.42578125" style="1" customWidth="1"/>
    <col min="12553" max="12557" width="9.140625" style="1"/>
    <col min="12558" max="12558" width="12.140625" style="1" bestFit="1" customWidth="1"/>
    <col min="12559" max="12800" width="9.140625" style="1"/>
    <col min="12801" max="12801" width="2.42578125" style="1" customWidth="1"/>
    <col min="12802" max="12802" width="20.7109375" style="1" customWidth="1"/>
    <col min="12803" max="12803" width="12.7109375" style="1" customWidth="1"/>
    <col min="12804" max="12807" width="10.7109375" style="1" customWidth="1"/>
    <col min="12808" max="12808" width="2.42578125" style="1" customWidth="1"/>
    <col min="12809" max="12813" width="9.140625" style="1"/>
    <col min="12814" max="12814" width="12.140625" style="1" bestFit="1" customWidth="1"/>
    <col min="12815" max="13056" width="9.140625" style="1"/>
    <col min="13057" max="13057" width="2.42578125" style="1" customWidth="1"/>
    <col min="13058" max="13058" width="20.7109375" style="1" customWidth="1"/>
    <col min="13059" max="13059" width="12.7109375" style="1" customWidth="1"/>
    <col min="13060" max="13063" width="10.7109375" style="1" customWidth="1"/>
    <col min="13064" max="13064" width="2.42578125" style="1" customWidth="1"/>
    <col min="13065" max="13069" width="9.140625" style="1"/>
    <col min="13070" max="13070" width="12.140625" style="1" bestFit="1" customWidth="1"/>
    <col min="13071" max="13312" width="9.140625" style="1"/>
    <col min="13313" max="13313" width="2.42578125" style="1" customWidth="1"/>
    <col min="13314" max="13314" width="20.7109375" style="1" customWidth="1"/>
    <col min="13315" max="13315" width="12.7109375" style="1" customWidth="1"/>
    <col min="13316" max="13319" width="10.7109375" style="1" customWidth="1"/>
    <col min="13320" max="13320" width="2.42578125" style="1" customWidth="1"/>
    <col min="13321" max="13325" width="9.140625" style="1"/>
    <col min="13326" max="13326" width="12.140625" style="1" bestFit="1" customWidth="1"/>
    <col min="13327" max="13568" width="9.140625" style="1"/>
    <col min="13569" max="13569" width="2.42578125" style="1" customWidth="1"/>
    <col min="13570" max="13570" width="20.7109375" style="1" customWidth="1"/>
    <col min="13571" max="13571" width="12.7109375" style="1" customWidth="1"/>
    <col min="13572" max="13575" width="10.7109375" style="1" customWidth="1"/>
    <col min="13576" max="13576" width="2.42578125" style="1" customWidth="1"/>
    <col min="13577" max="13581" width="9.140625" style="1"/>
    <col min="13582" max="13582" width="12.140625" style="1" bestFit="1" customWidth="1"/>
    <col min="13583" max="13824" width="9.140625" style="1"/>
    <col min="13825" max="13825" width="2.42578125" style="1" customWidth="1"/>
    <col min="13826" max="13826" width="20.7109375" style="1" customWidth="1"/>
    <col min="13827" max="13827" width="12.7109375" style="1" customWidth="1"/>
    <col min="13828" max="13831" width="10.7109375" style="1" customWidth="1"/>
    <col min="13832" max="13832" width="2.42578125" style="1" customWidth="1"/>
    <col min="13833" max="13837" width="9.140625" style="1"/>
    <col min="13838" max="13838" width="12.140625" style="1" bestFit="1" customWidth="1"/>
    <col min="13839" max="14080" width="9.140625" style="1"/>
    <col min="14081" max="14081" width="2.42578125" style="1" customWidth="1"/>
    <col min="14082" max="14082" width="20.7109375" style="1" customWidth="1"/>
    <col min="14083" max="14083" width="12.7109375" style="1" customWidth="1"/>
    <col min="14084" max="14087" width="10.7109375" style="1" customWidth="1"/>
    <col min="14088" max="14088" width="2.42578125" style="1" customWidth="1"/>
    <col min="14089" max="14093" width="9.140625" style="1"/>
    <col min="14094" max="14094" width="12.140625" style="1" bestFit="1" customWidth="1"/>
    <col min="14095" max="14336" width="9.140625" style="1"/>
    <col min="14337" max="14337" width="2.42578125" style="1" customWidth="1"/>
    <col min="14338" max="14338" width="20.7109375" style="1" customWidth="1"/>
    <col min="14339" max="14339" width="12.7109375" style="1" customWidth="1"/>
    <col min="14340" max="14343" width="10.7109375" style="1" customWidth="1"/>
    <col min="14344" max="14344" width="2.42578125" style="1" customWidth="1"/>
    <col min="14345" max="14349" width="9.140625" style="1"/>
    <col min="14350" max="14350" width="12.140625" style="1" bestFit="1" customWidth="1"/>
    <col min="14351" max="14592" width="9.140625" style="1"/>
    <col min="14593" max="14593" width="2.42578125" style="1" customWidth="1"/>
    <col min="14594" max="14594" width="20.7109375" style="1" customWidth="1"/>
    <col min="14595" max="14595" width="12.7109375" style="1" customWidth="1"/>
    <col min="14596" max="14599" width="10.7109375" style="1" customWidth="1"/>
    <col min="14600" max="14600" width="2.42578125" style="1" customWidth="1"/>
    <col min="14601" max="14605" width="9.140625" style="1"/>
    <col min="14606" max="14606" width="12.140625" style="1" bestFit="1" customWidth="1"/>
    <col min="14607" max="14848" width="9.140625" style="1"/>
    <col min="14849" max="14849" width="2.42578125" style="1" customWidth="1"/>
    <col min="14850" max="14850" width="20.7109375" style="1" customWidth="1"/>
    <col min="14851" max="14851" width="12.7109375" style="1" customWidth="1"/>
    <col min="14852" max="14855" width="10.7109375" style="1" customWidth="1"/>
    <col min="14856" max="14856" width="2.42578125" style="1" customWidth="1"/>
    <col min="14857" max="14861" width="9.140625" style="1"/>
    <col min="14862" max="14862" width="12.140625" style="1" bestFit="1" customWidth="1"/>
    <col min="14863" max="15104" width="9.140625" style="1"/>
    <col min="15105" max="15105" width="2.42578125" style="1" customWidth="1"/>
    <col min="15106" max="15106" width="20.7109375" style="1" customWidth="1"/>
    <col min="15107" max="15107" width="12.7109375" style="1" customWidth="1"/>
    <col min="15108" max="15111" width="10.7109375" style="1" customWidth="1"/>
    <col min="15112" max="15112" width="2.42578125" style="1" customWidth="1"/>
    <col min="15113" max="15117" width="9.140625" style="1"/>
    <col min="15118" max="15118" width="12.140625" style="1" bestFit="1" customWidth="1"/>
    <col min="15119" max="15360" width="9.140625" style="1"/>
    <col min="15361" max="15361" width="2.42578125" style="1" customWidth="1"/>
    <col min="15362" max="15362" width="20.7109375" style="1" customWidth="1"/>
    <col min="15363" max="15363" width="12.7109375" style="1" customWidth="1"/>
    <col min="15364" max="15367" width="10.7109375" style="1" customWidth="1"/>
    <col min="15368" max="15368" width="2.42578125" style="1" customWidth="1"/>
    <col min="15369" max="15373" width="9.140625" style="1"/>
    <col min="15374" max="15374" width="12.140625" style="1" bestFit="1" customWidth="1"/>
    <col min="15375" max="15616" width="9.140625" style="1"/>
    <col min="15617" max="15617" width="2.42578125" style="1" customWidth="1"/>
    <col min="15618" max="15618" width="20.7109375" style="1" customWidth="1"/>
    <col min="15619" max="15619" width="12.7109375" style="1" customWidth="1"/>
    <col min="15620" max="15623" width="10.7109375" style="1" customWidth="1"/>
    <col min="15624" max="15624" width="2.42578125" style="1" customWidth="1"/>
    <col min="15625" max="15629" width="9.140625" style="1"/>
    <col min="15630" max="15630" width="12.140625" style="1" bestFit="1" customWidth="1"/>
    <col min="15631" max="15872" width="9.140625" style="1"/>
    <col min="15873" max="15873" width="2.42578125" style="1" customWidth="1"/>
    <col min="15874" max="15874" width="20.7109375" style="1" customWidth="1"/>
    <col min="15875" max="15875" width="12.7109375" style="1" customWidth="1"/>
    <col min="15876" max="15879" width="10.7109375" style="1" customWidth="1"/>
    <col min="15880" max="15880" width="2.42578125" style="1" customWidth="1"/>
    <col min="15881" max="15885" width="9.140625" style="1"/>
    <col min="15886" max="15886" width="12.140625" style="1" bestFit="1" customWidth="1"/>
    <col min="15887" max="16128" width="9.140625" style="1"/>
    <col min="16129" max="16129" width="2.42578125" style="1" customWidth="1"/>
    <col min="16130" max="16130" width="20.7109375" style="1" customWidth="1"/>
    <col min="16131" max="16131" width="12.7109375" style="1" customWidth="1"/>
    <col min="16132" max="16135" width="10.7109375" style="1" customWidth="1"/>
    <col min="16136" max="16136" width="2.42578125" style="1" customWidth="1"/>
    <col min="16137" max="16141" width="9.140625" style="1"/>
    <col min="16142" max="16142" width="12.140625" style="1" bestFit="1" customWidth="1"/>
    <col min="16143" max="16384" width="9.140625" style="1"/>
  </cols>
  <sheetData>
    <row r="1" spans="2:7" x14ac:dyDescent="0.2">
      <c r="B1" s="2" t="s">
        <v>4</v>
      </c>
      <c r="C1" s="3"/>
      <c r="D1" s="4"/>
      <c r="E1" s="5"/>
    </row>
    <row r="2" spans="2:7" x14ac:dyDescent="0.2">
      <c r="B2" s="2" t="s">
        <v>5</v>
      </c>
      <c r="C2" s="3"/>
      <c r="D2" s="4"/>
      <c r="E2" s="5"/>
    </row>
    <row r="3" spans="2:7" ht="13.5" customHeight="1" thickBot="1" x14ac:dyDescent="0.3">
      <c r="B3" s="6"/>
      <c r="C3" s="7"/>
    </row>
    <row r="4" spans="2:7" ht="18.95" customHeight="1" thickBot="1" x14ac:dyDescent="0.4">
      <c r="B4" s="6"/>
      <c r="C4" s="503" t="s">
        <v>6</v>
      </c>
      <c r="D4" s="504"/>
      <c r="E4" s="505"/>
      <c r="F4" s="8"/>
      <c r="G4" s="8"/>
    </row>
    <row r="19" spans="2:7" x14ac:dyDescent="0.2">
      <c r="B19" s="9" t="s">
        <v>7</v>
      </c>
    </row>
    <row r="20" spans="2:7" ht="13.5" thickBot="1" x14ac:dyDescent="0.25">
      <c r="B20" s="10"/>
      <c r="C20" s="11"/>
      <c r="D20" s="11"/>
    </row>
    <row r="21" spans="2:7" ht="13.5" thickBot="1" x14ac:dyDescent="0.25">
      <c r="B21" s="12" t="s">
        <v>8</v>
      </c>
      <c r="C21" s="108">
        <f>'5. Totals-Standard'!C21*0.3048</f>
        <v>7.3152000000000008</v>
      </c>
      <c r="D21" s="109" t="s">
        <v>164</v>
      </c>
      <c r="F21" s="506" t="s">
        <v>10</v>
      </c>
      <c r="G21" s="507"/>
    </row>
    <row r="22" spans="2:7" x14ac:dyDescent="0.2">
      <c r="B22" s="15" t="s">
        <v>11</v>
      </c>
      <c r="C22" s="16">
        <f>'5. Totals-Standard'!C22</f>
        <v>2</v>
      </c>
      <c r="D22" s="17" t="s">
        <v>12</v>
      </c>
      <c r="F22" s="18" t="s">
        <v>13</v>
      </c>
      <c r="G22" s="19" t="s">
        <v>14</v>
      </c>
    </row>
    <row r="23" spans="2:7" ht="13.5" thickBot="1" x14ac:dyDescent="0.25">
      <c r="B23" s="20" t="s">
        <v>15</v>
      </c>
      <c r="C23" s="141">
        <v>100</v>
      </c>
      <c r="D23" s="21" t="s">
        <v>165</v>
      </c>
      <c r="F23" s="142">
        <v>2</v>
      </c>
      <c r="G23" s="143">
        <v>3</v>
      </c>
    </row>
    <row r="24" spans="2:7" ht="13.5" thickBot="1" x14ac:dyDescent="0.25">
      <c r="B24" s="22" t="s">
        <v>16</v>
      </c>
      <c r="C24" s="110">
        <f>SUM(C32:C44)</f>
        <v>4105.0112200000003</v>
      </c>
      <c r="D24" s="24" t="s">
        <v>165</v>
      </c>
      <c r="F24" s="508" t="s">
        <v>166</v>
      </c>
      <c r="G24" s="509"/>
    </row>
    <row r="25" spans="2:7" ht="13.5" thickBot="1" x14ac:dyDescent="0.25">
      <c r="F25" s="510">
        <f>F23+(G23/12)</f>
        <v>2.25</v>
      </c>
      <c r="G25" s="511"/>
    </row>
    <row r="26" spans="2:7" ht="13.5" thickBot="1" x14ac:dyDescent="0.25">
      <c r="B26" s="144" t="s">
        <v>18</v>
      </c>
      <c r="C26" s="145"/>
      <c r="D26" s="145"/>
    </row>
    <row r="27" spans="2:7" ht="8.25" customHeight="1" thickBot="1" x14ac:dyDescent="0.3">
      <c r="B27" s="6"/>
      <c r="C27" s="7"/>
    </row>
    <row r="28" spans="2:7" ht="21" customHeight="1" thickBot="1" x14ac:dyDescent="0.4">
      <c r="B28" s="6"/>
      <c r="C28" s="503" t="s">
        <v>19</v>
      </c>
      <c r="D28" s="504"/>
      <c r="E28" s="505"/>
      <c r="F28" s="512"/>
      <c r="G28" s="513"/>
    </row>
    <row r="29" spans="2:7" ht="6" customHeight="1" thickBot="1" x14ac:dyDescent="0.25">
      <c r="B29" s="9"/>
    </row>
    <row r="30" spans="2:7" ht="18.75" x14ac:dyDescent="0.3">
      <c r="B30" s="514" t="s">
        <v>20</v>
      </c>
      <c r="C30" s="515"/>
      <c r="D30" s="516" t="s">
        <v>21</v>
      </c>
      <c r="E30" s="517"/>
      <c r="F30" s="518" t="s">
        <v>167</v>
      </c>
      <c r="G30" s="517"/>
    </row>
    <row r="31" spans="2:7" x14ac:dyDescent="0.2">
      <c r="B31" s="25" t="s">
        <v>23</v>
      </c>
      <c r="C31" s="26" t="s">
        <v>168</v>
      </c>
      <c r="D31" s="519" t="s">
        <v>169</v>
      </c>
      <c r="E31" s="520"/>
      <c r="F31" s="27" t="s">
        <v>26</v>
      </c>
      <c r="G31" s="99" t="s">
        <v>27</v>
      </c>
    </row>
    <row r="32" spans="2:7" x14ac:dyDescent="0.2">
      <c r="B32" s="111" t="s">
        <v>28</v>
      </c>
      <c r="C32" s="42">
        <f>'5. Totals-Standard'!C32*0.4535924</f>
        <v>671.31675200000006</v>
      </c>
      <c r="D32" s="112"/>
      <c r="E32" s="113"/>
      <c r="F32" s="114">
        <f>C32/2</f>
        <v>335.65837600000003</v>
      </c>
      <c r="G32" s="115">
        <f>C32/2</f>
        <v>335.65837600000003</v>
      </c>
    </row>
    <row r="33" spans="2:14" x14ac:dyDescent="0.2">
      <c r="B33" s="111" t="s">
        <v>29</v>
      </c>
      <c r="C33" s="42">
        <f>'5. Totals-Standard'!C33*0.4535924</f>
        <v>72.574783999999994</v>
      </c>
      <c r="D33" s="111" t="s">
        <v>30</v>
      </c>
      <c r="E33" s="116">
        <v>0</v>
      </c>
      <c r="F33" s="117">
        <f>IF(E33&lt;0, "  Negative L ", IF($E$43&gt;$E$44, " R2 or D Inco", IF($E$34&gt;=$E$43, "R1 can't be ", IF(E33&lt;$E$34,C33*(($E$43-$E$34)+($E$34-E33))/($E$43-$E$34), IF(E33=MEDIAN($E$34,$E$43,E33),C33*(($E$43-$E$34)-(E33-$E$34))/($E$43-$E$34), IF(E33&gt;$E$44," Can't be gre",C33*(($E$43-$E$34)+($E$34-E33))/($E$43-$E$34)))))))</f>
        <v>80.470213068755427</v>
      </c>
      <c r="G33" s="115">
        <f>IF(E33&lt;0, "not allowed ", IF($E$43&gt;$E$44, "rrect Length ", IF($E$34&gt;=$E$43, "more than R2", IF(E33&lt;$E$34,C33*(E33-$E$34)/($E$43-$E$34), IF(E33=MEDIAN($E$34,$E$43,E33),C33*(E33-$E$34)/($E$43-$E$34), IF(E33&gt;$E$44,"ater than D  ",C33*(E33-$E$34)/($E$43-$E$34)))))))</f>
        <v>-7.8954290687554369</v>
      </c>
    </row>
    <row r="34" spans="2:14" x14ac:dyDescent="0.2">
      <c r="B34" s="111" t="s">
        <v>31</v>
      </c>
      <c r="C34" s="42">
        <f>'5. Totals-Standard'!C34*0.4535924</f>
        <v>532.51747760000001</v>
      </c>
      <c r="D34" s="118" t="s">
        <v>32</v>
      </c>
      <c r="E34" s="147">
        <v>0.6</v>
      </c>
      <c r="F34" s="117">
        <f>IF(E34&lt;0, "  Negative L ", IF($E$43&gt;$E$44, " R2 or D Inco", IF($E$34&gt;=$E$43, "R1 can't be ", IF(E34&lt;$E$34,C34*(($E$43-$E$34)+($E$34-E34))/($E$43-$E$34), IF(E34=MEDIAN($E$34,$E$43,E34),C34*(($E$43-$E$34)-(E34-$E$34))/($E$43-$E$34), IF(E34&gt;$E$44," Can't be gre",C34*(($E$43-$E$34)+($E$34-E34))/($E$43-$E$34)))))))</f>
        <v>532.51747760000001</v>
      </c>
      <c r="G34" s="115">
        <f>IF(E34&lt;0, "not allowed ", IF($E$43&gt;$E$44, "rrect Length ", IF($E$34&gt;=$E$43, "more than R2", IF(E34&lt;$E$34,C34*(E34-$E$34)/($E$43-$E$34), IF(E34=MEDIAN($E$34,$E$43,E34),C34*(E34-$E$34)/($E$43-$E$34), IF(E34&gt;$E$44,"ater than D  ",C34*(E34-$E$34)/($E$43-$E$34)))))))</f>
        <v>0</v>
      </c>
      <c r="M34" s="39"/>
      <c r="N34" s="40"/>
    </row>
    <row r="35" spans="2:14" x14ac:dyDescent="0.2">
      <c r="B35" s="119" t="s">
        <v>33</v>
      </c>
      <c r="C35" s="42">
        <f>'5. Totals-Standard'!C35*0.4535924</f>
        <v>714.40803000000005</v>
      </c>
      <c r="D35" s="15" t="s">
        <v>34</v>
      </c>
      <c r="E35" s="147">
        <f>E34+1.2</f>
        <v>1.7999999999999998</v>
      </c>
      <c r="F35" s="117">
        <f>IF(E35&lt;0, "  Negative L ", IF($E$43&gt;$E$44, " R2 or D Inco", IF($E$34&gt;=$E$43, "R1 can't be ", IF(E35&lt;$E$34,C35*(($E$43-$E$34)+($E$34-E35))/($E$43-$E$34), IF(E35=MEDIAN($E$34,$E$43,E35),C35*(($E$43-$E$34)-(E35-$E$34))/($E$43-$E$34), IF(E35&gt;$E$44," Can't be gre",C35*(($E$43-$E$34)+($E$34-E35))/($E$43-$E$34)))))))</f>
        <v>558.96677020887739</v>
      </c>
      <c r="G35" s="115">
        <f t="shared" ref="G35:G44" si="0">IF(E35&lt;0, "not allowed ", IF($E$43&gt;$E$44, "rrect Length ", IF($E$34&gt;=$E$43, "more than R2", IF(E35&lt;$E$34,C35*(E35-$E$34)/($E$43-$E$34), IF(E35=MEDIAN($E$34,$E$43,E35),C35*(E35-$E$34)/($E$43-$E$34), IF(E35&gt;$E$44,"ater than D  ",C35*(E35-$E$34)/($E$43-$E$34)))))))</f>
        <v>155.44125979112266</v>
      </c>
      <c r="M35" s="39"/>
      <c r="N35" s="40"/>
    </row>
    <row r="36" spans="2:14" x14ac:dyDescent="0.2">
      <c r="B36" s="119" t="s">
        <v>35</v>
      </c>
      <c r="C36" s="42">
        <f>'5. Totals-Standard'!C36*0.4535924</f>
        <v>1075.4675804000001</v>
      </c>
      <c r="D36" s="15" t="s">
        <v>36</v>
      </c>
      <c r="E36" s="147">
        <v>2</v>
      </c>
      <c r="F36" s="117">
        <f t="shared" ref="F36:F44" si="1">IF(E36&lt;0, "  Negative L ", IF($E$43&gt;$E$44, " R2 or D Inco", IF($E$34&gt;=$E$43, "R1 can't be ", IF(E36&lt;$E$34,C36*(($E$43-$E$34)+($E$34-E36))/($E$43-$E$34), IF(E36=MEDIAN($E$34,$E$43,E36),C36*(($E$43-$E$34)-(E36-$E$34))/($E$43-$E$34), IF(E36&gt;$E$44," Can't be gre",C36*(($E$43-$E$34)+($E$34-E36))/($E$43-$E$34)))))))</f>
        <v>802.46667153722103</v>
      </c>
      <c r="G36" s="115">
        <f t="shared" si="0"/>
        <v>273.00090886277917</v>
      </c>
      <c r="M36" s="44"/>
      <c r="N36" s="45"/>
    </row>
    <row r="37" spans="2:14" x14ac:dyDescent="0.2">
      <c r="B37" s="119" t="s">
        <v>37</v>
      </c>
      <c r="C37" s="42">
        <f>'5. Totals-Standard'!C37*0.4535924</f>
        <v>0</v>
      </c>
      <c r="D37" s="15" t="s">
        <v>38</v>
      </c>
      <c r="E37" s="147">
        <v>0</v>
      </c>
      <c r="F37" s="117">
        <f t="shared" si="1"/>
        <v>0</v>
      </c>
      <c r="G37" s="115">
        <f t="shared" si="0"/>
        <v>0</v>
      </c>
      <c r="M37" s="44"/>
      <c r="N37" s="45"/>
    </row>
    <row r="38" spans="2:14" x14ac:dyDescent="0.2">
      <c r="B38" s="119" t="s">
        <v>39</v>
      </c>
      <c r="C38" s="42">
        <f>'5. Totals-Standard'!C38*0.4535924</f>
        <v>0</v>
      </c>
      <c r="D38" s="15" t="s">
        <v>40</v>
      </c>
      <c r="E38" s="147">
        <v>0</v>
      </c>
      <c r="F38" s="117">
        <f t="shared" si="1"/>
        <v>0</v>
      </c>
      <c r="G38" s="115">
        <f t="shared" si="0"/>
        <v>0</v>
      </c>
      <c r="M38" s="44"/>
      <c r="N38" s="45"/>
    </row>
    <row r="39" spans="2:14" x14ac:dyDescent="0.2">
      <c r="B39" s="119" t="s">
        <v>41</v>
      </c>
      <c r="C39" s="42">
        <f>'5. Totals-Standard'!C39*0.4535924</f>
        <v>469.46813400000002</v>
      </c>
      <c r="D39" s="15" t="s">
        <v>42</v>
      </c>
      <c r="E39" s="147">
        <v>0</v>
      </c>
      <c r="F39" s="117">
        <f t="shared" si="1"/>
        <v>520.54169078851169</v>
      </c>
      <c r="G39" s="115">
        <f t="shared" si="0"/>
        <v>-51.073556788511738</v>
      </c>
    </row>
    <row r="40" spans="2:14" x14ac:dyDescent="0.2">
      <c r="B40" s="150" t="s">
        <v>191</v>
      </c>
      <c r="C40" s="42">
        <f>'5. Totals-Standard'!C40*0.4535924</f>
        <v>0</v>
      </c>
      <c r="D40" s="38" t="s">
        <v>192</v>
      </c>
      <c r="E40" s="147">
        <v>0</v>
      </c>
      <c r="F40" s="117">
        <f t="shared" si="1"/>
        <v>0</v>
      </c>
      <c r="G40" s="115">
        <f t="shared" si="0"/>
        <v>0</v>
      </c>
    </row>
    <row r="41" spans="2:14" x14ac:dyDescent="0.2">
      <c r="B41" s="150" t="s">
        <v>191</v>
      </c>
      <c r="C41" s="42">
        <f>'5. Totals-Standard'!C41*0.4535924</f>
        <v>0</v>
      </c>
      <c r="D41" s="38" t="s">
        <v>193</v>
      </c>
      <c r="E41" s="147">
        <v>0</v>
      </c>
      <c r="F41" s="117">
        <f t="shared" si="1"/>
        <v>0</v>
      </c>
      <c r="G41" s="115">
        <f t="shared" si="0"/>
        <v>0</v>
      </c>
    </row>
    <row r="42" spans="2:14" x14ac:dyDescent="0.2">
      <c r="B42" s="119" t="s">
        <v>43</v>
      </c>
      <c r="C42" s="42">
        <f>'5. Totals-Standard'!C42*0.4535924</f>
        <v>0</v>
      </c>
      <c r="D42" s="15" t="s">
        <v>44</v>
      </c>
      <c r="E42" s="147">
        <v>0</v>
      </c>
      <c r="F42" s="117">
        <f t="shared" si="1"/>
        <v>0</v>
      </c>
      <c r="G42" s="115">
        <f t="shared" si="0"/>
        <v>0</v>
      </c>
    </row>
    <row r="43" spans="2:14" x14ac:dyDescent="0.2">
      <c r="B43" s="111" t="s">
        <v>45</v>
      </c>
      <c r="C43" s="42">
        <f>'5. Totals-Standard'!C43*0.4535924</f>
        <v>532.51747760000001</v>
      </c>
      <c r="D43" s="118" t="s">
        <v>46</v>
      </c>
      <c r="E43" s="147">
        <f>E44-1.2</f>
        <v>6.1152000000000006</v>
      </c>
      <c r="F43" s="117">
        <f t="shared" si="1"/>
        <v>0</v>
      </c>
      <c r="G43" s="115">
        <f t="shared" si="0"/>
        <v>532.51747760000001</v>
      </c>
    </row>
    <row r="44" spans="2:14" ht="13.5" thickBot="1" x14ac:dyDescent="0.25">
      <c r="B44" s="120" t="s">
        <v>47</v>
      </c>
      <c r="C44" s="42">
        <f>'5. Totals-Standard'!C44*0.4535924</f>
        <v>36.740984400000002</v>
      </c>
      <c r="D44" s="121" t="s">
        <v>48</v>
      </c>
      <c r="E44" s="122">
        <f>C21</f>
        <v>7.3152000000000008</v>
      </c>
      <c r="F44" s="117">
        <f t="shared" si="1"/>
        <v>-7.9941219321148838</v>
      </c>
      <c r="G44" s="115">
        <f t="shared" si="0"/>
        <v>44.735106332114881</v>
      </c>
    </row>
    <row r="45" spans="2:14" ht="15" customHeight="1" thickBot="1" x14ac:dyDescent="0.3">
      <c r="B45" s="50"/>
      <c r="C45" s="51"/>
      <c r="D45" s="51"/>
      <c r="E45" s="52" t="s">
        <v>49</v>
      </c>
      <c r="F45" s="53">
        <f>SUM(F32:F44)</f>
        <v>2822.627077271251</v>
      </c>
      <c r="G45" s="54">
        <f>SUM(G32:G44)</f>
        <v>1282.3841427287493</v>
      </c>
    </row>
    <row r="46" spans="2:14" ht="15" customHeight="1" thickBot="1" x14ac:dyDescent="0.3">
      <c r="B46" s="55"/>
      <c r="C46" s="56"/>
      <c r="D46" s="56"/>
      <c r="E46" s="57" t="s">
        <v>170</v>
      </c>
      <c r="F46" s="58">
        <f>F45/4</f>
        <v>705.65676931781275</v>
      </c>
      <c r="G46" s="59">
        <f>G45/4</f>
        <v>320.59603568218733</v>
      </c>
    </row>
    <row r="47" spans="2:14" ht="15" customHeight="1" thickBot="1" x14ac:dyDescent="0.3">
      <c r="B47" s="55"/>
      <c r="C47" s="56"/>
      <c r="D47" s="60" t="s">
        <v>158</v>
      </c>
      <c r="E47" s="149">
        <v>6</v>
      </c>
      <c r="F47" s="61">
        <f>IF(E47=0, ("NA"), (F45/E47))</f>
        <v>470.43784621187518</v>
      </c>
      <c r="G47" s="62">
        <f>IF(E47=0, ("NA"), (G45/E47))</f>
        <v>213.73069045479156</v>
      </c>
    </row>
    <row r="48" spans="2:14" ht="5.25" customHeight="1" thickBot="1" x14ac:dyDescent="0.25"/>
    <row r="49" spans="1:7" ht="18.75" customHeight="1" thickBot="1" x14ac:dyDescent="0.4">
      <c r="C49" s="503" t="s">
        <v>52</v>
      </c>
      <c r="D49" s="504"/>
      <c r="E49" s="505"/>
      <c r="F49" s="63">
        <v>1.25</v>
      </c>
      <c r="G49" s="8"/>
    </row>
    <row r="50" spans="1:7" ht="5.25" customHeight="1" thickBot="1" x14ac:dyDescent="0.25"/>
    <row r="51" spans="1:7" ht="16.5" thickBot="1" x14ac:dyDescent="0.3">
      <c r="B51" s="64"/>
      <c r="C51" s="65"/>
      <c r="D51" s="65"/>
      <c r="E51" s="66" t="s">
        <v>170</v>
      </c>
      <c r="F51" s="67">
        <f>F46*$F$49</f>
        <v>882.0709616472659</v>
      </c>
      <c r="G51" s="68">
        <f>G46*$F$49</f>
        <v>400.7450446027342</v>
      </c>
    </row>
    <row r="52" spans="1:7" ht="16.5" thickBot="1" x14ac:dyDescent="0.3">
      <c r="B52" s="64"/>
      <c r="C52" s="65"/>
      <c r="D52" s="69" t="s">
        <v>171</v>
      </c>
      <c r="E52" s="70">
        <f>E47</f>
        <v>6</v>
      </c>
      <c r="F52" s="67">
        <f>IF(E47=0, ("NA"), (F47*$F$49))</f>
        <v>588.04730776484394</v>
      </c>
      <c r="G52" s="68">
        <f>IF(E47=0, ("NA"), (G47*$F$49))</f>
        <v>267.16336306848945</v>
      </c>
    </row>
    <row r="55" spans="1:7" ht="13.5" thickBot="1" x14ac:dyDescent="0.25">
      <c r="B55" s="71" t="s">
        <v>54</v>
      </c>
      <c r="C55" s="71"/>
    </row>
    <row r="56" spans="1:7" ht="27.75" customHeight="1" x14ac:dyDescent="0.2">
      <c r="A56" s="72">
        <v>1</v>
      </c>
      <c r="B56" s="412" t="s">
        <v>55</v>
      </c>
      <c r="C56" s="412"/>
      <c r="D56" s="412"/>
      <c r="E56" s="412"/>
      <c r="F56" s="412"/>
      <c r="G56" s="412"/>
    </row>
    <row r="57" spans="1:7" ht="42.75" customHeight="1" x14ac:dyDescent="0.2">
      <c r="A57" s="72">
        <v>2</v>
      </c>
      <c r="B57" s="412" t="s">
        <v>188</v>
      </c>
      <c r="C57" s="412"/>
      <c r="D57" s="412"/>
      <c r="E57" s="412"/>
      <c r="F57" s="412"/>
      <c r="G57" s="412"/>
    </row>
    <row r="58" spans="1:7" ht="42.75" customHeight="1" x14ac:dyDescent="0.2">
      <c r="A58" s="72">
        <v>3</v>
      </c>
      <c r="B58" s="415" t="s">
        <v>240</v>
      </c>
      <c r="C58" s="415"/>
      <c r="D58" s="415"/>
      <c r="E58" s="415"/>
      <c r="F58" s="415"/>
      <c r="G58" s="415"/>
    </row>
    <row r="59" spans="1:7" ht="67.5" customHeight="1" x14ac:dyDescent="0.2">
      <c r="A59" s="72">
        <v>4</v>
      </c>
      <c r="B59" s="412" t="s">
        <v>56</v>
      </c>
      <c r="C59" s="413"/>
      <c r="D59" s="413"/>
      <c r="E59" s="413"/>
      <c r="F59" s="413"/>
      <c r="G59" s="413"/>
    </row>
    <row r="60" spans="1:7" ht="26.25" customHeight="1" x14ac:dyDescent="0.2">
      <c r="A60" s="72">
        <v>5</v>
      </c>
      <c r="B60" s="412" t="s">
        <v>190</v>
      </c>
      <c r="C60" s="413"/>
      <c r="D60" s="413"/>
      <c r="E60" s="413"/>
      <c r="F60" s="413"/>
      <c r="G60" s="413"/>
    </row>
    <row r="61" spans="1:7" ht="39" customHeight="1" x14ac:dyDescent="0.2">
      <c r="A61" s="72">
        <v>6</v>
      </c>
      <c r="B61" s="412" t="s">
        <v>189</v>
      </c>
      <c r="C61" s="412"/>
      <c r="D61" s="412"/>
      <c r="E61" s="412"/>
      <c r="F61" s="412"/>
      <c r="G61" s="412"/>
    </row>
    <row r="62" spans="1:7" ht="40.5" customHeight="1" x14ac:dyDescent="0.2">
      <c r="A62" s="72">
        <v>7</v>
      </c>
      <c r="B62" s="412" t="s">
        <v>57</v>
      </c>
      <c r="C62" s="413"/>
      <c r="D62" s="413"/>
      <c r="E62" s="413"/>
      <c r="F62" s="413"/>
      <c r="G62" s="413"/>
    </row>
    <row r="63" spans="1:7" ht="26.25" customHeight="1" x14ac:dyDescent="0.2">
      <c r="A63" s="72">
        <v>8</v>
      </c>
      <c r="B63" s="412" t="s">
        <v>58</v>
      </c>
      <c r="C63" s="413"/>
      <c r="D63" s="413"/>
      <c r="E63" s="413"/>
      <c r="F63" s="413"/>
      <c r="G63" s="413"/>
    </row>
    <row r="64" spans="1:7" ht="11.25" customHeight="1" x14ac:dyDescent="0.2">
      <c r="A64" s="72"/>
      <c r="B64" s="73"/>
      <c r="C64" s="73"/>
      <c r="D64" s="73"/>
      <c r="E64" s="73"/>
      <c r="F64" s="73"/>
      <c r="G64" s="73"/>
    </row>
    <row r="65" spans="1:7" ht="12.75" customHeight="1" x14ac:dyDescent="0.2">
      <c r="A65" s="72">
        <v>9</v>
      </c>
      <c r="B65" s="414" t="s">
        <v>59</v>
      </c>
      <c r="C65" s="414"/>
      <c r="D65" s="414"/>
      <c r="E65" s="414"/>
      <c r="F65" s="414"/>
      <c r="G65" s="414"/>
    </row>
    <row r="66" spans="1:7" ht="31.5" customHeight="1" x14ac:dyDescent="0.2">
      <c r="A66" s="72"/>
      <c r="B66" s="414"/>
      <c r="C66" s="414"/>
      <c r="D66" s="414"/>
      <c r="E66" s="414"/>
      <c r="F66" s="414"/>
      <c r="G66" s="414"/>
    </row>
    <row r="67" spans="1:7" ht="12.75" customHeight="1" x14ac:dyDescent="0.2">
      <c r="B67" s="414"/>
      <c r="C67" s="414"/>
      <c r="D67" s="414"/>
      <c r="E67" s="414"/>
      <c r="F67" s="414"/>
      <c r="G67" s="414"/>
    </row>
    <row r="68" spans="1:7" ht="12.75" customHeight="1" x14ac:dyDescent="0.2">
      <c r="B68" s="414"/>
      <c r="C68" s="414"/>
      <c r="D68" s="414"/>
      <c r="E68" s="414"/>
      <c r="F68" s="414"/>
      <c r="G68" s="414"/>
    </row>
    <row r="69" spans="1:7" ht="12.75" customHeight="1" x14ac:dyDescent="0.2">
      <c r="B69" s="414"/>
      <c r="C69" s="414"/>
      <c r="D69" s="414"/>
      <c r="E69" s="414"/>
      <c r="F69" s="414"/>
      <c r="G69" s="414"/>
    </row>
    <row r="70" spans="1:7" ht="12.75" customHeight="1" x14ac:dyDescent="0.2">
      <c r="B70" s="414"/>
      <c r="C70" s="414"/>
      <c r="D70" s="414"/>
      <c r="E70" s="414"/>
      <c r="F70" s="414"/>
      <c r="G70" s="414"/>
    </row>
    <row r="71" spans="1:7" ht="12.75" customHeight="1" x14ac:dyDescent="0.2">
      <c r="B71" s="414"/>
      <c r="C71" s="414"/>
      <c r="D71" s="414"/>
      <c r="E71" s="414"/>
      <c r="F71" s="414"/>
      <c r="G71" s="414"/>
    </row>
    <row r="72" spans="1:7" ht="12.75" customHeight="1" x14ac:dyDescent="0.2">
      <c r="B72" s="414"/>
      <c r="C72" s="414"/>
      <c r="D72" s="414"/>
      <c r="E72" s="414"/>
      <c r="F72" s="414"/>
      <c r="G72" s="414"/>
    </row>
    <row r="73" spans="1:7" ht="12.75" customHeight="1" x14ac:dyDescent="0.2">
      <c r="B73" s="414"/>
      <c r="C73" s="414"/>
      <c r="D73" s="414"/>
      <c r="E73" s="414"/>
      <c r="F73" s="414"/>
      <c r="G73" s="414"/>
    </row>
    <row r="74" spans="1:7" ht="12.75" customHeight="1" x14ac:dyDescent="0.2">
      <c r="B74" s="414"/>
      <c r="C74" s="414"/>
      <c r="D74" s="414"/>
      <c r="E74" s="414"/>
      <c r="F74" s="414"/>
      <c r="G74" s="414"/>
    </row>
    <row r="75" spans="1:7" ht="12.75" customHeight="1" x14ac:dyDescent="0.2">
      <c r="B75" s="414"/>
      <c r="C75" s="414"/>
      <c r="D75" s="414"/>
      <c r="E75" s="414"/>
      <c r="F75" s="414"/>
      <c r="G75" s="414"/>
    </row>
    <row r="76" spans="1:7" ht="12.75" customHeight="1" x14ac:dyDescent="0.2">
      <c r="B76" s="414"/>
      <c r="C76" s="414"/>
      <c r="D76" s="414"/>
      <c r="E76" s="414"/>
      <c r="F76" s="414"/>
      <c r="G76" s="414"/>
    </row>
    <row r="77" spans="1:7" ht="12.75" customHeight="1" x14ac:dyDescent="0.2">
      <c r="B77" s="414"/>
      <c r="C77" s="414"/>
      <c r="D77" s="414"/>
      <c r="E77" s="414"/>
      <c r="F77" s="414"/>
      <c r="G77" s="414"/>
    </row>
    <row r="78" spans="1:7" ht="12.75" customHeight="1" x14ac:dyDescent="0.2">
      <c r="B78" s="414"/>
      <c r="C78" s="414"/>
      <c r="D78" s="414"/>
      <c r="E78" s="414"/>
      <c r="F78" s="414"/>
      <c r="G78" s="414"/>
    </row>
    <row r="79" spans="1:7" ht="12.75" customHeight="1" x14ac:dyDescent="0.2">
      <c r="B79" s="414"/>
      <c r="C79" s="414"/>
      <c r="D79" s="414"/>
      <c r="E79" s="414"/>
      <c r="F79" s="414"/>
      <c r="G79" s="414"/>
    </row>
    <row r="80" spans="1:7" ht="12.75" customHeight="1" x14ac:dyDescent="0.2">
      <c r="B80" s="414"/>
      <c r="C80" s="414"/>
      <c r="D80" s="414"/>
      <c r="E80" s="414"/>
      <c r="F80" s="414"/>
      <c r="G80" s="414"/>
    </row>
    <row r="81" spans="2:7" ht="24" customHeight="1" x14ac:dyDescent="0.2">
      <c r="B81" s="414"/>
      <c r="C81" s="414"/>
      <c r="D81" s="414"/>
      <c r="E81" s="414"/>
      <c r="F81" s="414"/>
      <c r="G81" s="414"/>
    </row>
    <row r="82" spans="2:7" ht="12.75" customHeight="1" x14ac:dyDescent="0.2"/>
    <row r="83" spans="2:7" ht="12.75" customHeight="1" x14ac:dyDescent="0.2">
      <c r="B83" s="9"/>
    </row>
    <row r="84" spans="2:7" x14ac:dyDescent="0.2">
      <c r="B84" s="9"/>
    </row>
    <row r="85" spans="2:7" x14ac:dyDescent="0.2">
      <c r="B85" s="9"/>
    </row>
    <row r="86" spans="2:7" x14ac:dyDescent="0.2">
      <c r="B86" s="9"/>
    </row>
    <row r="88" spans="2:7" x14ac:dyDescent="0.2">
      <c r="B88" s="9"/>
    </row>
  </sheetData>
  <sheetProtection password="E89C" sheet="1" objects="1" scenarios="1" selectLockedCells="1"/>
  <mergeCells count="20">
    <mergeCell ref="B65:G81"/>
    <mergeCell ref="B57:G57"/>
    <mergeCell ref="B59:G59"/>
    <mergeCell ref="B60:G60"/>
    <mergeCell ref="B61:G61"/>
    <mergeCell ref="B62:G62"/>
    <mergeCell ref="B63:G63"/>
    <mergeCell ref="B58:G58"/>
    <mergeCell ref="B56:G56"/>
    <mergeCell ref="C4:E4"/>
    <mergeCell ref="F21:G21"/>
    <mergeCell ref="F24:G24"/>
    <mergeCell ref="F25:G25"/>
    <mergeCell ref="C28:E28"/>
    <mergeCell ref="F28:G28"/>
    <mergeCell ref="B30:C30"/>
    <mergeCell ref="D30:E30"/>
    <mergeCell ref="F30:G30"/>
    <mergeCell ref="D31:E31"/>
    <mergeCell ref="C49:E49"/>
  </mergeCells>
  <pageMargins left="0.7" right="0.7" top="0.75" bottom="0.75" header="0.3" footer="0.3"/>
  <pageSetup fitToHeight="2" orientation="portrait" r:id="rId1"/>
  <headerFooter alignWithMargins="0">
    <oddHeader>&amp;LBID-WELL: A TEREX Company
PO Box 97, Canton, SD 57013&amp;CPAVER WHEEL LOAD
WEIGHT CALCULATOR&amp;R&amp;F
KJK 033017</oddHeader>
    <oddFooter>&amp;LTab: &amp;A&amp;CPage &amp;P of &amp;N&amp;RPrinted: &amp;D</oddFooter>
  </headerFooter>
  <rowBreaks count="1" manualBreakCount="1">
    <brk id="52" max="16383" man="1"/>
  </rowBreaks>
  <colBreaks count="1" manualBreakCount="1">
    <brk id="8"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
  <sheetViews>
    <sheetView zoomScale="70" zoomScaleNormal="70" workbookViewId="0">
      <selection activeCell="L32" sqref="L32"/>
    </sheetView>
  </sheetViews>
  <sheetFormatPr defaultRowHeight="12.75" x14ac:dyDescent="0.2"/>
  <cols>
    <col min="1" max="16384" width="9.140625" style="1"/>
  </cols>
  <sheetData>
    <row r="1" spans="1:10" x14ac:dyDescent="0.2">
      <c r="A1" s="1" t="s">
        <v>187</v>
      </c>
      <c r="J1" s="411" t="s">
        <v>239</v>
      </c>
    </row>
  </sheetData>
  <sheetProtection password="E89C" sheet="1" objects="1" scenarios="1" selectLockedCells="1"/>
  <pageMargins left="0.7" right="0.7" top="0.75" bottom="0.75" header="0.3" footer="0.3"/>
  <pageSetup orientation="portrait" r:id="rId1"/>
  <headerFooter alignWithMargins="0">
    <oddHeader>&amp;LBID-WELL: A TEREX Company
PO Box 97, Canton, SD 57013&amp;CPAVER WHEEL LOAD
WEIGHT CALCULATOR&amp;R&amp;F
KJK 033017</oddHeader>
    <oddFooter>&amp;LTab: &amp;A&amp;CPage &amp;P of &amp;N&amp;RPrinted: &amp;D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Instructions</vt:lpstr>
      <vt:lpstr>1. Inserts</vt:lpstr>
      <vt:lpstr>2. Carriage</vt:lpstr>
      <vt:lpstr>3. PU-Paver Options</vt:lpstr>
      <vt:lpstr>4. Legs-Bogies</vt:lpstr>
      <vt:lpstr>5. Totals-Standard</vt:lpstr>
      <vt:lpstr>5. Totals-Metric</vt:lpstr>
      <vt:lpstr>Reference Docs</vt:lpstr>
      <vt:lpstr>'1. Inserts'!Print_Area</vt:lpstr>
      <vt:lpstr>'2. Carriage'!Print_Area</vt:lpstr>
      <vt:lpstr>'3. PU-Paver Options'!Print_Area</vt:lpstr>
    </vt:vector>
  </TitlesOfParts>
  <Company>Terex User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Kruse, Kevin</dc:creator>
  <cp:lastModifiedBy>Mike Hughes</cp:lastModifiedBy>
  <cp:lastPrinted>2017-04-07T18:32:33Z</cp:lastPrinted>
  <dcterms:created xsi:type="dcterms:W3CDTF">2015-10-13T13:46:27Z</dcterms:created>
  <dcterms:modified xsi:type="dcterms:W3CDTF">2017-09-08T20:19:09Z</dcterms:modified>
</cp:coreProperties>
</file>